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omments3.xml" ContentType="application/vnd.openxmlformats-officedocument.spreadsheetml.comments+xml"/>
  <Override PartName="/xl/drawings/drawing6.xml" ContentType="application/vnd.openxmlformats-officedocument.drawing+xml"/>
  <Override PartName="/xl/comments4.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omments5.xml" ContentType="application/vnd.openxmlformats-officedocument.spreadsheetml.comments+xml"/>
  <Override PartName="/xl/drawings/drawing11.xml" ContentType="application/vnd.openxmlformats-officedocument.drawing+xml"/>
  <Override PartName="/xl/ctrlProps/ctrlProp12.xml" ContentType="application/vnd.ms-excel.controlproperties+xml"/>
  <Override PartName="/xl/drawings/drawing12.xml" ContentType="application/vnd.openxmlformats-officedocument.drawing+xml"/>
  <Override PartName="/xl/ctrlProps/ctrlProp13.xml" ContentType="application/vnd.ms-excel.controlproperties+xml"/>
  <Override PartName="/xl/ctrlProps/ctrlProp14.xml" ContentType="application/vnd.ms-excel.controlproperties+xml"/>
  <Override PartName="/xl/comments6.xml" ContentType="application/vnd.openxmlformats-officedocument.spreadsheetml.comments+xml"/>
  <Override PartName="/xl/drawings/drawing13.xml" ContentType="application/vnd.openxmlformats-officedocument.drawing+xml"/>
  <Override PartName="/xl/comments7.xml" ContentType="application/vnd.openxmlformats-officedocument.spreadsheetml.comments+xml"/>
  <Override PartName="/xl/drawings/drawing14.xml" ContentType="application/vnd.openxmlformats-officedocument.drawing+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EstaPasta_de_trabalho"/>
  <mc:AlternateContent xmlns:mc="http://schemas.openxmlformats.org/markup-compatibility/2006">
    <mc:Choice Requires="x15">
      <x15ac:absPath xmlns:x15ac="http://schemas.microsoft.com/office/spreadsheetml/2010/11/ac" url="F:\Setor Licitação\Compartilhada 2025\COBERTURA QUADRA IRACEMA\"/>
    </mc:Choice>
  </mc:AlternateContent>
  <workbookProtection workbookAlgorithmName="SHA-512" workbookHashValue="xXi3cyPu1b9QpLEMwmHwk7SZKpRgV5ng5AHTsK1Ge2uA1gwQatEs2TgKXNqWLRzIS+vzIP/PJG8mKXfpziKddQ==" workbookSaltValue="tBOD4P5v/4VcXQJacaH0OA==" workbookSpinCount="100000" lockStructure="1"/>
  <bookViews>
    <workbookView xWindow="0" yWindow="0" windowWidth="21600" windowHeight="9600" tabRatio="801" activeTab="1"/>
  </bookViews>
  <sheets>
    <sheet name="NOVO" sheetId="3" r:id="rId1"/>
    <sheet name="MENU" sheetId="15" r:id="rId2"/>
    <sheet name="DADOS" sheetId="2" r:id="rId3"/>
    <sheet name="BDI" sheetId="4" r:id="rId4"/>
    <sheet name="ORÇAMENTO" sheetId="5" r:id="rId5"/>
    <sheet name="EVENTOS" sheetId="7" state="hidden" r:id="rId6"/>
    <sheet name="CÁLCULO" sheetId="6" r:id="rId7"/>
    <sheet name="CRONOPLE" sheetId="9" state="hidden" r:id="rId8"/>
    <sheet name="CRONO" sheetId="8" r:id="rId9"/>
    <sheet name="QCI" sheetId="11" r:id="rId10"/>
    <sheet name="PLE" sheetId="10" state="hidden" r:id="rId11"/>
    <sheet name="BM" sheetId="12" state="hidden" r:id="rId12"/>
    <sheet name="RRE" sheetId="13" state="hidden" r:id="rId13"/>
    <sheet name="OFÍCIO" sheetId="14" state="hidden" r:id="rId14"/>
    <sheet name="PO-PLE" sheetId="16" state="hidden" r:id="rId15"/>
    <sheet name="CFF-PLE" sheetId="17" state="hidden" r:id="rId16"/>
    <sheet name="PO-BM" sheetId="20" state="hidden" r:id="rId17"/>
    <sheet name="CFF-BM" sheetId="19" state="hidden" r:id="rId18"/>
  </sheets>
  <definedNames>
    <definedName name="_xlnm._FilterDatabase" localSheetId="3">BDI!$I$11:$I$132</definedName>
    <definedName name="_xlnm._FilterDatabase" localSheetId="11">BM!$C$15:$C$27</definedName>
    <definedName name="_xlnm._FilterDatabase" localSheetId="6">CÁLCULO!$C$15:$C$27</definedName>
    <definedName name="_xlnm._FilterDatabase" localSheetId="8" hidden="1">CRONO!$G$13:$G$43</definedName>
    <definedName name="_xlnm._FilterDatabase" localSheetId="7">CRONOPLE!$A$13:$A$79</definedName>
    <definedName name="_xlnm._FilterDatabase" localSheetId="5">EVENTOS!$A$13:$A$72</definedName>
    <definedName name="_xlnm._FilterDatabase" localSheetId="4">ORÇAMENTO!$L$15:$L$27</definedName>
    <definedName name="_xlnm._FilterDatabase" localSheetId="10">PLE!$A$13:$A$81</definedName>
    <definedName name="_xlnm._FilterDatabase" localSheetId="9">QCI!$C$13:$C$25</definedName>
    <definedName name="_xlnm._FilterDatabase" localSheetId="12">RRE!$D$13:$D$30</definedName>
    <definedName name="ACOMPANHAMENTO">MENU!$J$4</definedName>
    <definedName name="AdmLocal">CÁLCULO!$A$11</definedName>
    <definedName name="_xlnm.Print_Area" localSheetId="3">BDI!$J$4:$S$52</definedName>
    <definedName name="_xlnm.Print_Area" localSheetId="11">BM!$D$1:$O$42</definedName>
    <definedName name="_xlnm.Print_Area" localSheetId="6">CÁLCULO!$E$6:$AA$35</definedName>
    <definedName name="_xlnm.Print_Area" localSheetId="8">CRONO!$I$7:$AG$43</definedName>
    <definedName name="_xlnm.Print_Area" localSheetId="5">EVENTOS!$C$2:$Z$72</definedName>
    <definedName name="_xlnm.Print_Area" localSheetId="1">MENU!$A$1:$I$25</definedName>
    <definedName name="_xlnm.Print_Area" localSheetId="13">OFÍCIO!$A$1:$G$56</definedName>
    <definedName name="_xlnm.Print_Area" localSheetId="4">ORÇAMENTO!$O$6:$X$44</definedName>
    <definedName name="_xlnm.Print_Area" localSheetId="10">PLE!$B$3:$AG$82</definedName>
    <definedName name="_xlnm.Print_Area" localSheetId="9">QCI!$D$1:$O$37</definedName>
    <definedName name="_xlnm.Print_Area" localSheetId="12">RRE!$E$1:$P$49</definedName>
    <definedName name="AUTOEVENTO">CÁLCULO!$A$12</definedName>
    <definedName name="BDI.ColAux">BDI!$A:$G</definedName>
    <definedName name="BDI.Erro">BDI!$U$7</definedName>
    <definedName name="BDI.Filtro">BDI!$I$11:$I$132</definedName>
    <definedName name="BDI.Opcao">DADOS!$C$18</definedName>
    <definedName name="BDI.TipoObra">BDI!$A$138:$A$146</definedName>
    <definedName name="BDI_1.Título">BDI!$J$14</definedName>
    <definedName name="BDI_2.Título">BDI!$J$54</definedName>
    <definedName name="BDI_3.Título">BDI!$J$94</definedName>
    <definedName name="BM.AFAcumulado">BM!$R1</definedName>
    <definedName name="BM.AFAnterior">BM!$Q1</definedName>
    <definedName name="BM.CaixaColunas">BM!$Q:$AA</definedName>
    <definedName name="BM.Erro">BM!$F$10</definedName>
    <definedName name="BM.Filtro">BM!$C$15:$C$27</definedName>
    <definedName name="BM.firstrow">BM!$15:$15</definedName>
    <definedName name="BM.FormulaMed">BM!$AO$7</definedName>
    <definedName name="BM.lastrow">BM!$27:$27</definedName>
    <definedName name="BM.LinhaPadrão">BM!$14:$14</definedName>
    <definedName name="BM.MaxMed">IF(RegimeExecucao="Global",1,BM!$G1)</definedName>
    <definedName name="BM.MCAIXA.Filter">BM!$C$15:$Z$27</definedName>
    <definedName name="BM.MEDAcumulado">IF(COUNTIF(BM!$AB$13:$AM$13,BM.medicao)&gt;0,SUM(OFFSET(BM!$AB1,0,0,1,MATCH(BM.medicao,BM!$AB$13:$AM$13,0))),0)</definedName>
    <definedName name="BM.MEDAnterior">IF(COUNTIF(BM!$AB$13:$AM$13,BM.medicao-1)&gt;0,SUM(OFFSET(BM!$AB1,0,0,1,MATCH(BM.medicao-1,BM!$AB$13:$AM$13,0))),0)</definedName>
    <definedName name="BM.medicao">OFFSET(BM!$O$7,1,0)</definedName>
    <definedName name="BM.MinMed">IF(RegimeExecucao="Global",-1,-BM!$G1)</definedName>
    <definedName name="BM.Título">BM!$E$1</definedName>
    <definedName name="BM.TomadorColunas">BM!$AB:$AN</definedName>
    <definedName name="Brasao">OFÍCIO!$B$1</definedName>
    <definedName name="CAIXA.Modo">BM!$A$3</definedName>
    <definedName name="CÁLCULO.AgrupEventos">CÁLCULO!$K1</definedName>
    <definedName name="CÁLCULO.ColunaPadrão">CÁLCULO!$O:$O</definedName>
    <definedName name="CÁLCULO.Erro">CÁLCULO!$F$11</definedName>
    <definedName name="CÁLCULO.Filtro">CÁLCULO!$C$15:$C$27</definedName>
    <definedName name="CÁLCULO.firstcol">CÁLCULO!$P:$P</definedName>
    <definedName name="CÁLCULO.firstrow">CÁLCULO!$15:$15</definedName>
    <definedName name="CÁLCULO.Frenterow">CÁLCULO!$12:$12</definedName>
    <definedName name="CÁLCULO.FrentesPreenchidas">CÁLCULO!$M$1</definedName>
    <definedName name="CÁLCULO.lastcol">CÁLCULO!$AA:$AA</definedName>
    <definedName name="CÁLCULO.lastrow">CÁLCULO!$27:$27</definedName>
    <definedName name="CÁLCULO.LinhaPadrão">CÁLCULO!$14:$14</definedName>
    <definedName name="CÁLCULO.margemrow">CÁLCULO!$35:$35</definedName>
    <definedName name="CÁLCULO.MATRIZ1.ColunaPadrão">CÁLCULO!$AC:$AC</definedName>
    <definedName name="CÁLCULO.MATRIZ1.firstcol">CÁLCULO!$AA:$AA</definedName>
    <definedName name="CÁLCULO.MATRIZ1.lastcol">CÁLCULO!$AL:$AL</definedName>
    <definedName name="CÁLCULO.MATRIZ1.lastrow">CÁLCULO!$27:$27</definedName>
    <definedName name="CÁLCULO.MATRIZ2.ColunaPadrão">CÁLCULO!$AN:$AN</definedName>
    <definedName name="CÁLCULO.MATRIZ2.firstcol">CÁLCULO!$AL:$AL</definedName>
    <definedName name="CÁLCULO.MATRIZ2.lastcol">CÁLCULO!$AW:$AW</definedName>
    <definedName name="CÁLCULO.MATRIZ2.lastrow">CÁLCULO!$27:$27</definedName>
    <definedName name="CÁLCULO.MATRIZ3.ColunaPadrão">CÁLCULO!$AY:$AY</definedName>
    <definedName name="CÁLCULO.MATRIZ3.firstcol">CÁLCULO!$AW:$AW</definedName>
    <definedName name="CÁLCULO.MATRIZ3.lastcol">CÁLCULO!$BH:$BH</definedName>
    <definedName name="CÁLCULO.MATRIZ3.lastrow">CÁLCULO!$27:$27</definedName>
    <definedName name="CÁLCULO.nEvento">CÁLCULO!$M$12</definedName>
    <definedName name="CÁLCULO.NúmeroDeEventos">IF(AUTOEVENTO&lt;&gt;"manual",MAX(CÁLCULO!$M$15:$M$27),MAX(OFFSET(EVENTOS!$C$1:$C$65,1,0)))</definedName>
    <definedName name="CÁLCULO.NúmeroDeFrentes">COLUMN(CÁLCULO!$AA$15)-COLUMN(CÁLCULO!$Q$15)</definedName>
    <definedName name="CÁLCULO.Título">CÁLCULO!$F$6</definedName>
    <definedName name="CÁLCULO.TotalAdmLocal">IF(AUTOEVENTO="manual",SUMIF(CÁLCULO!$M$15:$M$27,1,ORÇAMENTO!$X$15:$X$27),0)</definedName>
    <definedName name="CRONO.ColAux">CRONO!$M:$R</definedName>
    <definedName name="CRONO.ColunaPadrão">CRONO!$E:$E</definedName>
    <definedName name="CRONO.Erro">CRONO!$K$10</definedName>
    <definedName name="CRONO.Filtro">CRONO!$G$13:$G$43</definedName>
    <definedName name="CRONO.FirstCol">CRONO!$T:$T</definedName>
    <definedName name="CRONO.firstrow">CRONO!$13:$13</definedName>
    <definedName name="CRONO.Frenterow">CRONO!$12:$12</definedName>
    <definedName name="CRONO.LastCol">CRONO!$AG:$AG</definedName>
    <definedName name="CRONO.lastrow">CRONO!$26:$26</definedName>
    <definedName name="CRONO.lastrow2">CRONO!$38:$38</definedName>
    <definedName name="CRONO.LinhaPadrão">CRONO!$1:$3</definedName>
    <definedName name="CRONO.LinhasNecessarias">COUNTIF(QCI!$B$13:$B$24,"Manual")+COUNTIF(QCI!$B$13:$B$24,"SemiAuto")+COUNT(ORÇAMENTO.ListaCrono)</definedName>
    <definedName name="CRONO.margemrow">CRONO!$43:$43</definedName>
    <definedName name="CRONO.MaxParc">CRONO!$H1048576+CRONO!A1</definedName>
    <definedName name="CRONO.NivelExibicao">CRONO!$H$10</definedName>
    <definedName name="CRONO.Parcela1">CRONO!$U$12:$U$13</definedName>
    <definedName name="CRONO.ParcelaFinal">MATCH(100%,CRONO!$U$32:$AG$32,0)</definedName>
    <definedName name="CRONO.Título">CRONO!$S$4</definedName>
    <definedName name="CRONOPLE.ColunaPadrão">CRONOPLE!$E:$E</definedName>
    <definedName name="CRONOPLE.Erro">CRONOPLE!$B$6</definedName>
    <definedName name="CRONOPLE.Filtro">CRONOPLE!$A$13:$A$79</definedName>
    <definedName name="CRONOPLE.FirstCol">CRONOPLE!$F:$F</definedName>
    <definedName name="CRONOPLE.firstrow">CRONOPLE!$15:$15</definedName>
    <definedName name="CRONOPLE.Frenterow">CRONOPLE!$11:$11</definedName>
    <definedName name="CRONOPLE.LastCol">CRONOPLE!$AF:$AF</definedName>
    <definedName name="CRONOPLE.lastrow">CRONOPLE!$65:$65</definedName>
    <definedName name="CRONOPLE.lastrow2">CRONOPLE!$74:$74</definedName>
    <definedName name="CRONOPLE.LinhaPadrão">CRONOPLE!$1:$1</definedName>
    <definedName name="CRONOPLE.margemrow">CRONOPLE!$81:$81</definedName>
    <definedName name="CRONOPLE.Título">CRONOPLE!$G$2</definedName>
    <definedName name="CRONOPLE.ValorDoEvento">SUMIF(CÁLCULO!$M$15:$M$27,CRONOPLE!$B1,OFFSET(CÁLCULO!$AA$15:$AA$27,0,CRONOPLE!A$12))</definedName>
    <definedName name="DADOS.ColAux">DADOS!$G:$AR</definedName>
    <definedName name="DADOS.Erro">DADOS!$D$1</definedName>
    <definedName name="DESONERACAO">IF(OR(Import.Desoneracao="DESONERADO",Import.Desoneracao="SIM"),"SIM","NÃO")</definedName>
    <definedName name="EVENTOS.ColunaPadrão">EVENTOS!$E:$E</definedName>
    <definedName name="EVENTOS.Erro">EVENTOS!$F$6</definedName>
    <definedName name="EVENTOS.Filtro">EVENTOS!$A$13:$A$72</definedName>
    <definedName name="EVENTOS.firstcol">EVENTOS!$G:$G</definedName>
    <definedName name="EVENTOS.firstrow">EVENTOS!$15:$15</definedName>
    <definedName name="EVENTOS.FrenteRow">EVENTOS!$10:$10</definedName>
    <definedName name="EVENTOS.LastCol">EVENTOS!$Z:$Z</definedName>
    <definedName name="EVENTOS.lastrow">EVENTOS!$65:$65</definedName>
    <definedName name="EVENTOS.LinhaPadrão">EVENTOS!$1:$1</definedName>
    <definedName name="EVENTOS.Lista">EVENTOS!$C$15:OFFSET(EVENTOS!$C$65,-1,0)</definedName>
    <definedName name="EVENTOS.ListaValidacao">EVENTOS!$B$15:OFFSET(EVENTOS!$B$65,-1,0)</definedName>
    <definedName name="EVENTOS.Manual.Preenchidos">EVENTOS!$C$10</definedName>
    <definedName name="EVENTOS.MargemRow">EVENTOS!$72:$72</definedName>
    <definedName name="EVENTOS.Título">EVENTOS!$F$2</definedName>
    <definedName name="Excel_BuiltIn_Database">TEXT(Import.DataBase,"mm-aaaa")</definedName>
    <definedName name="Import.Apelido">DADOS!$C$16</definedName>
    <definedName name="Import.BDI.Det1">BDI!$S$21:$S$26</definedName>
    <definedName name="Import.BDI.Det2">BDI!$S$61:$S$66</definedName>
    <definedName name="Import.BDI.Det3">BDI!$S$101:$S$106</definedName>
    <definedName name="Import.BDI.ISS">BDI!$R$10:$S$11</definedName>
    <definedName name="Import.BDI.Obs1">BDI!$J$43</definedName>
    <definedName name="Import.BDI.Obs2">BDI!$J$83</definedName>
    <definedName name="Import.BDI.Obs3">BDI!$J$123</definedName>
    <definedName name="Import.BDI.Tipo1">BDI!$J$17</definedName>
    <definedName name="Import.BDI.Tipo2">BDI!$J$57</definedName>
    <definedName name="Import.BDI.Tipo3">BDI!$J$97</definedName>
    <definedName name="Import.BM.Datas">BM!$AB$12:$AM$12</definedName>
    <definedName name="Import.BM.Obs">BM!$D$30</definedName>
    <definedName name="Import.BMAFAcumulado">OFFSET(BM!$R$15,1,0):OFFSET(BM!$R$27,-1,0)</definedName>
    <definedName name="Import.BMArred">BM!$A$9</definedName>
    <definedName name="Import.CNPJ">DADOS!$C$39</definedName>
    <definedName name="Import.Código">OFFSET(ORÇAMENTO!$Q$15,1,0):OFFSET(ORÇAMENTO!$Q$27,-1,0)</definedName>
    <definedName name="Import.Contrapartida">DADOS!$C$10</definedName>
    <definedName name="Import.CPMaxPerc">DADOS!$C$13</definedName>
    <definedName name="Import.CPMinAbsoluta">DADOS!$C$12</definedName>
    <definedName name="Import.CPMinPerc">DADOS!$C$11</definedName>
    <definedName name="Import.CR">DADOS!$C$7</definedName>
    <definedName name="Import.CRONOPLE">OFFSET(CRONOPLE!$F$15,1,1):OFFSET(CRONOPLE!$AF$65,-1,-1)</definedName>
    <definedName name="Import.CTEF">DADOS!$C$37</definedName>
    <definedName name="Import.CustoUnitário">OFFSET(ORÇAMENTO!$U$15,1,0):OFFSET(ORÇAMENTO!$U$27,-1,0)</definedName>
    <definedName name="Import.DataBase">OFFSET(DADOS!$D$19,0,-1)</definedName>
    <definedName name="Import.DataBaseLicit">OFFSET(DADOS!$D$41,0,-1)</definedName>
    <definedName name="Import.DataEmissaoLicit">DADOS!$C$36</definedName>
    <definedName name="Import.DataFechaRRE">DADOS!$C$48</definedName>
    <definedName name="Import.DataInicioObra">DADOS!$C$47</definedName>
    <definedName name="Import.DataPreenchimento">OFFSET(DADOS!$D$25,0,-1)</definedName>
    <definedName name="Import.DescLote">DADOS!$C$17</definedName>
    <definedName name="Import.Descrição">OFFSET(ORÇAMENTO!$R$15,1,0):OFFSET(ORÇAMENTO!$R$27,-1,0)</definedName>
    <definedName name="Import.Desoneracao">OFFSET(DADOS!$D$18,0,-1)</definedName>
    <definedName name="Import.empresa">DADOS!$C$38</definedName>
    <definedName name="Import.EventoAdmLocal">CRONOPLE!$B$8</definedName>
    <definedName name="Import.Eventos.Nível">EVENTOS!$C$8</definedName>
    <definedName name="Import.Eventos.Nomes">OFFSET(EVENTOS!$D$15,1,0):OFFSET(EVENTOS!$D$65,-1,0)</definedName>
    <definedName name="Import.Fonte">OFFSET(ORÇAMENTO!$P$15,1,0):OFFSET(ORÇAMENTO!$P$27,-1,0)</definedName>
    <definedName name="Import.FrenteDeObra">CÁLCULO!$Q$12:OFFSET(CÁLCULO!$AA$12,0,-1)</definedName>
    <definedName name="Import.MacrosserviçoAdmLocal">CRONO!$H$37</definedName>
    <definedName name="Import.Município">DADOS!$C$6</definedName>
    <definedName name="Import.Nível">OFFSET(ORÇAMENTO!$M$15,1,0):OFFSET(ORÇAMENTO!$M$27,-1,0)</definedName>
    <definedName name="Import.Ofício.Dest">OFÍCIO!$B$11</definedName>
    <definedName name="Import.Ofício.GIGOV">OFÍCIO!$C$11</definedName>
    <definedName name="Import.Ofício.Num">OFÍCIO!$C$6</definedName>
    <definedName name="Import.OpcaoBDI">OFFSET(ORÇAMENTO!$V$15,1,0):OFFSET(ORÇAMENTO!$V$27,-1,0)</definedName>
    <definedName name="Import.ORÇAMENTO.DivRecurso">OFFSET(ORÇAMENTO!$Y$15,1,0):OFFSET(ORÇAMENTO!$Y$27,-1,0)</definedName>
    <definedName name="Import.ORÇAMENTO.Obs">ORÇAMENTO!$O$33</definedName>
    <definedName name="Import.PLE">OFFSET(PLE!$G$15,1,1):OFFSET(PLE!$AG$65,-1,-1)</definedName>
    <definedName name="Import.PLE.Datas">PLE!$I$68:$AF$68</definedName>
    <definedName name="Import.PLQ">OFFSET(CÁLCULO!$P$15,1,1):OFFSET(CÁLCULO!$AA$27,-1,-1)</definedName>
    <definedName name="Import.PLQ.MemCalc">OFFSET(CÁLCULO!$I$15,1,0):OFFSET(CÁLCULO!$I$27,-1,0)</definedName>
    <definedName name="Import.PLQ.nAgrupEvent">OFFSET(CÁLCULO!$K$15,1,0):OFFSET(CÁLCULO!$K$27,-1,0)</definedName>
    <definedName name="Import.POArred">ORÇAMENTO!$AF$7:$AF$11</definedName>
    <definedName name="IMport.Prefeito">DADOS!$C$28:$C$29</definedName>
    <definedName name="Import.Proponente">DADOS!$C$5</definedName>
    <definedName name="Import.QCI.Divisao">OFFSET(QCI!$V$13,1,0):OFFSET(QCI!$V$24,-1,0)</definedName>
    <definedName name="Import.QCI.ItemInv">OFFSET(QCI!$E$13,1,0):OFFSET(QCI!$E$24,-1,0)</definedName>
    <definedName name="Import.QCI.Obs">QCI!$D$28</definedName>
    <definedName name="Import.QCI.Qtde">OFFSET(QCI!$I$13,1,0):OFFSET(QCI!$I$24,-1,0)</definedName>
    <definedName name="Import.QCI.Situacao">OFFSET(QCI!$H$13,1,0):OFFSET(QCI!$H$24,-1,0)</definedName>
    <definedName name="Import.QCI.SubItemInv">OFFSET(QCI!$F$13,1,0):OFFSET(QCI!$F$24,-1,0)</definedName>
    <definedName name="Import.QCICP">OFFSET(QCI!$W$13,1,0):OFFSET(QCI!$W$24,-1,0)</definedName>
    <definedName name="Import.QCIDesc">OFFSET(QCI!$R$13,1,0):OFFSET(QCI!$R$24,-1,0)</definedName>
    <definedName name="Import.QCIInv">OFFSET(QCI!$U$13,1,0):OFFSET(QCI!$U$24,-1,0)</definedName>
    <definedName name="Import.QCILote">OFFSET(QCI!$T$13,1,0):OFFSET(QCI!$T$24,-1,0)</definedName>
    <definedName name="Import.QCIOutros">OFFSET(QCI!$X$13,1,0):OFFSET(QCI!$X$24,-1,0)</definedName>
    <definedName name="Import.Quantidade">OFFSET(ORÇAMENTO!$AJ$15,1,0):OFFSET(ORÇAMENTO!$AJ$27,-1,0)</definedName>
    <definedName name="import.recurso">DADOS!$C$4</definedName>
    <definedName name="Import.RegimeExecução">OFFSET(DADOS!$D$40,0,-1)</definedName>
    <definedName name="Import.Repasse">DADOS!$C$9</definedName>
    <definedName name="Import.RespFiscalização">DADOS!$C$51:$C$54</definedName>
    <definedName name="Import.RespOrçamento">DADOS!$C$22:$C$24</definedName>
    <definedName name="Import.RRE.Financeiro">RRE!$M$47:$O$49</definedName>
    <definedName name="Import.RRE.Obs">RRE!$E$31</definedName>
    <definedName name="Import.RRE.Social">RRE!$F$47:$G$49</definedName>
    <definedName name="Import.SICONV">DADOS!$C$8</definedName>
    <definedName name="Import.TipoArredondamento">DADOS!$C$31</definedName>
    <definedName name="Import.TransfereGOV">DADOS!$C$8</definedName>
    <definedName name="Import.Unidade">OFFSET(ORÇAMENTO!$S$15,1,0):OFFSET(ORÇAMENTO!$S$27,-1,0)</definedName>
    <definedName name="Import.UnitarioLicitado">OFFSET(ORÇAMENTO!$AL$15,1,0):OFFSET(ORÇAMENTO!$AL$27,-1,0)</definedName>
    <definedName name="ListaTgov.Unidades">DADOS!$AQ$3:$AQ$220</definedName>
    <definedName name="MENU.Acompanhamento">MENU!$O$4</definedName>
    <definedName name="Menu.b.bdi">MENU!$C$10</definedName>
    <definedName name="Menu.b.bm">MENU!$G$22</definedName>
    <definedName name="Menu.b.branco">MENU!$G$12</definedName>
    <definedName name="Menu.b.cronolicit">MENU!$G$18</definedName>
    <definedName name="Menu.b.cronoprop">MENU!$E$12</definedName>
    <definedName name="Menu.b.dados">MENU!$E$6</definedName>
    <definedName name="Menu.b.novo">MENU!$G$6</definedName>
    <definedName name="Menu.b.oficio">MENU!$E$24</definedName>
    <definedName name="Menu.b.orçlicit">MENU!$C$18</definedName>
    <definedName name="Menu.b.orçprop">MENU!$E$10</definedName>
    <definedName name="Menu.b.PLE">MENU!$C$22</definedName>
    <definedName name="Menu.b.PLQ">MENU!$G$10</definedName>
    <definedName name="Menu.b.QCIlicit">MENU!$E$18</definedName>
    <definedName name="Menu.b.qciprop">MENU!$C$12</definedName>
    <definedName name="Menu.b.RRE">MENU!$E$22</definedName>
    <definedName name="MENU.CRONO">OFFSET(CRONO!$U$11,1,0)</definedName>
    <definedName name="MENU.Import.Form.PLQ">MENU!$K$2</definedName>
    <definedName name="MENU.Import.Form.PreçoUnit">MENU!$K$1</definedName>
    <definedName name="MENU.TipoOrçamento">MENU!$O$3</definedName>
    <definedName name="Menu.tit.acompanhamento">MENU!$B$20</definedName>
    <definedName name="Menu.tit.licitacao">MENU!$B$16</definedName>
    <definedName name="Menu.tit.proposta">MENU!$B$8</definedName>
    <definedName name="NumEventos" localSheetId="16">COUNT(OFFSET(Eventos,0,0,,1))</definedName>
    <definedName name="NumEventos">COUNT(OFFSET(Eventos,0,0,,1))</definedName>
    <definedName name="Objeto">MENU!$J$1</definedName>
    <definedName name="OFÍCIO.Erro">OFÍCIO!$C$5</definedName>
    <definedName name="ORÇAMENTO.BancoRef">ORÇAMENTO!$F$8</definedName>
    <definedName name="ORÇAMENTO.CodBarra">IF(ORÇAMENTO.Fonte="Sinapi",SUBSTITUTE(SUBSTITUTE(ORÇAMENTO.Codigo,"/00","/"),"/0","/"),ORÇAMENTO.Codigo)</definedName>
    <definedName name="ORÇAMENTO.Codigo">ORÇAMENTO!$Q1</definedName>
    <definedName name="ORÇAMENTO.ColAux1">ORÇAMENTO!$Z:$AB</definedName>
    <definedName name="ORÇAMENTO.ColAux2">ORÇAMENTO!$AD:$AF</definedName>
    <definedName name="ORÇAMENTO.ColunaLicit">ORÇAMENTO!$AL$15</definedName>
    <definedName name="ORÇAMENTO.CopyFormat1">ORÇAMENTO!$P$14:$S$14</definedName>
    <definedName name="ORÇAMENTO.CopyFormat2">ORÇAMENTO!$U$14:$V$14</definedName>
    <definedName name="ORÇAMENTO.CustoUnitario">ROUND(ORÇAMENTO!$U1,15-13*ORÇAMENTO!$AF$8)</definedName>
    <definedName name="ORÇAMENTO.Descricao">ORÇAMENTO!$R1</definedName>
    <definedName name="ORÇAMENTO.Erro">ORÇAMENTO!$O$12</definedName>
    <definedName name="ORÇAMENTO.Filtro">ORÇAMENTO!$L$15:$L$27</definedName>
    <definedName name="ORÇAMENTO.firstrow">ORÇAMENTO!$15:$15</definedName>
    <definedName name="ORÇAMENTO.Fonte">ORÇAMENTO!$P1</definedName>
    <definedName name="ORÇAMENTO.lastrow">ORÇAMENTO!$27:$27</definedName>
    <definedName name="ORÇAMENTO.LinhaPadrão">ORÇAMENTO!$14:$14</definedName>
    <definedName name="ORÇAMENTO.ListaCrono">OFFSET(ORÇAMENTO!$AD$15,1,0):OFFSET(ORÇAMENTO!$AD$27,-1,0)</definedName>
    <definedName name="ORÇAMENTO.MáximoListaCrono">MAX(ORÇAMENTO.ListaCrono)</definedName>
    <definedName name="ORÇAMENTO.Nivel">ORÇAMENTO!$M1</definedName>
    <definedName name="ORÇAMENTO.OpcaoBDI">ORÇAMENTO!$V1</definedName>
    <definedName name="ORÇAMENTO.PasteFormat1">OFFSET(ORÇAMENTO!$P$15,1,0):OFFSET(ORÇAMENTO!$S$27,-1,0)</definedName>
    <definedName name="ORÇAMENTO.PasteFormat2">OFFSET(ORÇAMENTO!$U$15,1,0):OFFSET(ORÇAMENTO!$V$27,-1,0)</definedName>
    <definedName name="ORÇAMENTO.PrecoUnitarioLicitado">ORÇAMENTO!$AL1</definedName>
    <definedName name="ORÇAMENTO.QuantBM">ORÇAMENTO!$AJ1</definedName>
    <definedName name="ORÇAMENTO.RangeQuant">OFFSET(ORÇAMENTO!$T$15,1,0):OFFSET(ORÇAMENTO!$T$27,-1,0)</definedName>
    <definedName name="ORÇAMENTO.SumCPMANUAL">SUMIF(ORÇAMENTO!$Z$15:$Z$27,"CP",ORÇAMENTO!$AA$15:$AA$27)</definedName>
    <definedName name="ORÇAMENTO.SumINVMANUAL">SUMIF(ORÇAMENTO!$Z$15:$Z$27,"RP",ORÇAMENTO!$X$15:$X$27)+SUMIF(ORÇAMENTO!$Z$15:$Z$27,"CP",ORÇAMENTO!$X$15:$X$27)+SUMIF(ORÇAMENTO!$Z$15:$Z$27,"OU",ORÇAMENTO!$X$15:$X$27)</definedName>
    <definedName name="ORÇAMENTO.SumOUTROSMANUAL">SUMIF(ORÇAMENTO!$Z$15:$Z$27,"OU",ORÇAMENTO!$AB$15:$AB$27)</definedName>
    <definedName name="ORÇAMENTO.SumREPASSEMANUAL">ORÇAMENTO.SumINVMANUAL-ORÇAMENTO.SumCPMANUAL-ORÇAMENTO.SumOUTROSMANUAL</definedName>
    <definedName name="ORÇAMENTO.Título">ORÇAMENTO!$R$1</definedName>
    <definedName name="ORÇAMENTO.Unidade">ORÇAMENTO!$S1</definedName>
    <definedName name="PLE.ColunaPadrão">PLE!$F:$F</definedName>
    <definedName name="PLE.Erro">PLE!$C$11</definedName>
    <definedName name="PLE.Filtro">PLE!$A$13:$A$81</definedName>
    <definedName name="PLE.FirstCol">PLE!$G:$G</definedName>
    <definedName name="PLE.firstrow">PLE!$15:$15</definedName>
    <definedName name="PLE.FrenteRow">PLE!$11:$11</definedName>
    <definedName name="PLE.LastCol">PLE!$AG:$AG</definedName>
    <definedName name="PLE.lastrow">PLE!$65:$65</definedName>
    <definedName name="PLE.LinhaPadrão">PLE!$1:$1</definedName>
    <definedName name="PLE.margemrow">PLE!$82:$82</definedName>
    <definedName name="PLE.Medicao">PLE!$J$9</definedName>
    <definedName name="PLE.MEDIÇÕES.firstrow">PLE!$66:$66</definedName>
    <definedName name="PLE.MEDIÇÕES.lastrow">PLE!$76:$76</definedName>
    <definedName name="PLE.MEDIÇÕES.LinhaPadrão">PLE!$66:$73</definedName>
    <definedName name="PLE.Título">PLE!$H$3</definedName>
    <definedName name="PLE.ValorDoEvento">SUMIF(CÁLCULO!$M$15:$M$27,PLE!$B1,OFFSET(CÁLCULO!$AA$15:$AA$27,0,PLE!A$12))</definedName>
    <definedName name="PO.ValoresBDI">OFFSET(ORÇAMENTO!$AH$15,1,0):OFFSET(ORÇAMENTO!$AH$27,-1,0)</definedName>
    <definedName name="QCI.ColAux">QCI!$Z:$AE</definedName>
    <definedName name="QCI.CPManual">ROUND(QCI!$W1,2)</definedName>
    <definedName name="QCI.DescManual">QCI!$R1</definedName>
    <definedName name="QCI.Divisao">QCI!$V1</definedName>
    <definedName name="QCI.Erro">QCI!$G$9</definedName>
    <definedName name="QCI.ExisteManual">(COUNTIF(QCI!$B$13:$B$24,"Manual")+COUNTIF(QCI!$B$13:$B$24,"SemiAuto"))&gt;0</definedName>
    <definedName name="QCI.Filtro">QCI!$C$13:$C$25</definedName>
    <definedName name="QCI.firstrow">QCI!$13:$13</definedName>
    <definedName name="QCI.InvManual">ROUND(QCI!$U1,2)</definedName>
    <definedName name="QCI.ItemInvestimento">OFFSET(DADOS!$G$2,1,0,COUNTA(DADOS!$G:$G)-1,1)</definedName>
    <definedName name="QCI.lastrow">QCI!$24:$24</definedName>
    <definedName name="QCI.LinhaPadrão">QCI!$12:$12</definedName>
    <definedName name="QCI.LoteManual">QCI!$T1</definedName>
    <definedName name="QCI.MaxCPManual">QCI!$O1-QCI!$X1</definedName>
    <definedName name="QCI.MaxOUManual">QCI!$O1-QCI!$W1</definedName>
    <definedName name="QCI.OutrosManual">ROUND(QCI!$X1,2)</definedName>
    <definedName name="QCI.RepasseManual">QCI!$U1</definedName>
    <definedName name="QCI.SubItemInvestimento">OFFSET(DADOS!$A$2,1,MATCH(QCI!$E1,DADOS!$2:$2,0)-1,INDEX(DADOS!$2:$2,MATCH(QCI!$E1,DADOS!$2:$2,0)+1))</definedName>
    <definedName name="QCI.SumCPMANUAL">SUMIF(QCI!$B$13:$B$24,"Manual",QCI!$AA$13:$AA$24)</definedName>
    <definedName name="QCI.SumINVMANUAL">SUMIF(QCI!$B$13:$B$24,"Manual",QCI!$O$13:$O$24)</definedName>
    <definedName name="QCI.SumOUTROSMANUAL">SUMIF(QCI!$B$13:$B$24,"Manual",QCI!$AB$13:$AB$24)</definedName>
    <definedName name="QCI.SumREPASSEMANUAL">QCI.SumINVMANUAL-QCI.CPManual-QCI.OutrosManual</definedName>
    <definedName name="QCI.Título">QCI!$F$1</definedName>
    <definedName name="QCI.TotalCP">QCI!$M$24</definedName>
    <definedName name="REFERENCIA.Descricao">IF(ISNUMBER(ORÇAMENTO!$AF1),OFFSET(INDIRECT(ORÇAMENTO.BancoRef),ORÇAMENTO!$AF1-1,3,1),ORÇAMENTO!$AF1)</definedName>
    <definedName name="REFERENCIA.Desonerado">IF(ISNUMBER(ORÇAMENTO!$AF1),VALUE(OFFSET(INDIRECT(ORÇAMENTO.BancoRef),ORÇAMENTO!$AF1-1,5,1)),0)</definedName>
    <definedName name="REFERENCIA.NaoDesonerado">IF(ISNUMBER(ORÇAMENTO!$AF1),VALUE(OFFSET(INDIRECT(ORÇAMENTO.BancoRef),ORÇAMENTO!$AF1-1,6,1)),0)</definedName>
    <definedName name="REFERENCIA.Unidade">IF(ISNUMBER(ORÇAMENTO!$AF1),OFFSET(INDIRECT(ORÇAMENTO.BancoRef),ORÇAMENTO!$AF1-1,4,1),"-")</definedName>
    <definedName name="RegimeExecucao">IF(OR(Import.RegimeExecução="",Import.RegimeExecução="Empreitada por Preço Global",Import.RegimeExecução="Empreitada Integral"),"Global","Unitário")</definedName>
    <definedName name="RRE.ColAux1">RRE!$Q:$V</definedName>
    <definedName name="RRE.ColAux2">RRE!$AC:$AO</definedName>
    <definedName name="RRE.CPDiferente">RRE!$Y$26:$Z$27</definedName>
    <definedName name="RRE.Filtro">RRE!$D$13:$D$28</definedName>
    <definedName name="RRE.firstrow">RRE!$13:$13</definedName>
    <definedName name="RRE.lastrow">RRE!$24:$24</definedName>
    <definedName name="RRE.LinhaPadrão">RRE!$12:$12</definedName>
    <definedName name="RRE.MaxCPAcum">RRE!$AD$26</definedName>
    <definedName name="RRE.MaxCPAnt">RRE!$AC$26</definedName>
    <definedName name="RRE.MaxOUAcum">RRE!$AD$27</definedName>
    <definedName name="RRE.MaxOUAnt">RRE!$AC$27</definedName>
    <definedName name="RRE.Numero">OFFSET(RRE!$O$7,0,1)</definedName>
    <definedName name="RRE.Título">RRE!$F$1</definedName>
    <definedName name="RRE.VIMeta">RRE!$L1</definedName>
    <definedName name="SENHAGT">"PM3CAIXA"</definedName>
    <definedName name="SomaAgrup">SUMIF(OFFSET(ORÇAMENTO!$C1,1,0,ORÇAMENTO!$D1),"S",OFFSET(ORÇAMENTO!A1,1,0,ORÇAMENTO!$D1))</definedName>
    <definedName name="SomaAgrupBM">SUMIF(OFFSET(BM!$A1,1,0,BM!$B1),"S",OFFSET(BM!A1,1,0,BM!$B1))</definedName>
    <definedName name="TIPOORCAMENTO">IF(VALUE(MENU!$O$3)=2,"Licitado","Proposto")</definedName>
    <definedName name="_xlnm.Print_Titles" localSheetId="3">BDI!$4:$13</definedName>
    <definedName name="_xlnm.Print_Titles" localSheetId="11">BM!$1:$15</definedName>
    <definedName name="_xlnm.Print_Titles" localSheetId="6">CÁLCULO!$E:$H,CÁLCULO!$6:$15</definedName>
    <definedName name="_xlnm.Print_Titles" localSheetId="8">CRONO!$I:$T,CRONO!$7:$13</definedName>
    <definedName name="_xlnm.Print_Titles" localSheetId="4">ORÇAMENTO!$13:$15</definedName>
    <definedName name="_xlnm.Print_Titles" localSheetId="10">PLE!$B:$E,PLE!$1:$13</definedName>
    <definedName name="_xlnm.Print_Titles" localSheetId="9">QCI!$1:$13</definedName>
    <definedName name="_xlnm.Print_Titles" localSheetId="12">RRE!$1:$13</definedName>
    <definedName name="Versao">MENU!$J$2</definedName>
    <definedName name="VTOTAL1">ROUND(ORÇAMENTO!$T1*ORÇAMENTO!$W1,15-13*ORÇAMENTO!$AF$11)</definedName>
    <definedName name="VTOTALBM">IF(BM!$I1=0,0,CHOOSE(MATCH(RegimeExecucao,{"Global","Unitário"},0),ROUND(ROUND(BM!XFB1,15-13*BM!$A$9)/100*BM!$I1,15-13*ORÇAMENTO!$AF$11),ROUND(ROUND(BM!XFB1,15-13*BM!$A$9)*ROUND(BM!$H1,15-13*ORÇAMENTO!$AF$10),15-13*ORÇAMENTO!$AF$11)))</definedName>
    <definedName name="VTOTALMED">BM!$P$14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24" i="5" l="1"/>
  <c r="A19" i="5" l="1"/>
  <c r="AJ18" i="5"/>
  <c r="A24" i="5"/>
  <c r="AJ26" i="5"/>
  <c r="A26" i="5"/>
  <c r="A25" i="5"/>
  <c r="A23" i="5"/>
  <c r="A22" i="5"/>
  <c r="A21" i="5"/>
  <c r="A20" i="5"/>
  <c r="A18" i="5"/>
  <c r="C128" i="3" l="1"/>
  <c r="R2" i="5" a="1"/>
  <c r="R2" i="5" s="1"/>
  <c r="AH13" i="5" a="1"/>
  <c r="AH13" i="5" s="1"/>
  <c r="V13" i="5" a="1"/>
  <c r="V13" i="5" s="1"/>
  <c r="U13" i="5" a="1"/>
  <c r="U13" i="5" s="1"/>
  <c r="X7" i="5" a="1"/>
  <c r="X7" i="5" s="1"/>
  <c r="W7" i="5" a="1"/>
  <c r="W7" i="5" s="1"/>
  <c r="V7" i="5" a="1"/>
  <c r="V7" i="5" s="1"/>
  <c r="S7" i="5" a="1"/>
  <c r="S7" i="5" s="1"/>
  <c r="R7" i="5" a="1"/>
  <c r="R7" i="5" s="1"/>
  <c r="S8" i="5" a="1"/>
  <c r="S8" i="5" s="1"/>
  <c r="R8" i="5" a="1"/>
  <c r="R8" i="5" s="1"/>
  <c r="Q8" i="5" a="1"/>
  <c r="Q8" i="5" s="1"/>
  <c r="H23" i="13"/>
  <c r="G23" i="13"/>
  <c r="H22" i="13"/>
  <c r="G22" i="13"/>
  <c r="H21" i="13"/>
  <c r="G21" i="13"/>
  <c r="H20" i="13"/>
  <c r="G20" i="13"/>
  <c r="H19" i="13"/>
  <c r="G19" i="13"/>
  <c r="H18" i="13"/>
  <c r="G18" i="13"/>
  <c r="H17" i="13"/>
  <c r="G17" i="13"/>
  <c r="H16" i="13"/>
  <c r="G16" i="13"/>
  <c r="H15" i="13"/>
  <c r="G15" i="13"/>
  <c r="H14" i="13"/>
  <c r="G14" i="13"/>
  <c r="S23" i="11"/>
  <c r="J23" i="11"/>
  <c r="I23" i="13" s="1"/>
  <c r="D23" i="11"/>
  <c r="E23" i="13" s="1"/>
  <c r="S22" i="11"/>
  <c r="J22" i="11"/>
  <c r="I22" i="13" s="1"/>
  <c r="D22" i="11"/>
  <c r="E22" i="13" s="1"/>
  <c r="S21" i="11"/>
  <c r="J21" i="11"/>
  <c r="I21" i="13" s="1"/>
  <c r="D21" i="11"/>
  <c r="E21" i="13" s="1"/>
  <c r="S20" i="11"/>
  <c r="J20" i="11"/>
  <c r="I20" i="13" s="1"/>
  <c r="D20" i="11"/>
  <c r="E20" i="13" s="1"/>
  <c r="S19" i="11"/>
  <c r="J19" i="11"/>
  <c r="I19" i="13" s="1"/>
  <c r="D19" i="11"/>
  <c r="E19" i="13" s="1"/>
  <c r="S18" i="11"/>
  <c r="J18" i="11"/>
  <c r="I18" i="13" s="1"/>
  <c r="D18" i="11"/>
  <c r="E18" i="13" s="1"/>
  <c r="S17" i="11"/>
  <c r="J17" i="11"/>
  <c r="I17" i="13" s="1"/>
  <c r="D17" i="11"/>
  <c r="E17" i="13" s="1"/>
  <c r="S16" i="11"/>
  <c r="J16" i="11"/>
  <c r="I16" i="13" s="1"/>
  <c r="D16" i="11"/>
  <c r="A16" i="11" s="1"/>
  <c r="S15" i="11"/>
  <c r="J15" i="11"/>
  <c r="I15" i="13" s="1"/>
  <c r="D15" i="11"/>
  <c r="E15" i="13" s="1"/>
  <c r="S14" i="11"/>
  <c r="J14" i="11"/>
  <c r="I14" i="13" s="1"/>
  <c r="D14" i="11"/>
  <c r="E14" i="13" s="1"/>
  <c r="B14" i="8"/>
  <c r="B17" i="8" s="1"/>
  <c r="B20" i="8" s="1"/>
  <c r="B23" i="8" s="1"/>
  <c r="A64" i="7"/>
  <c r="A63" i="7"/>
  <c r="A62" i="7"/>
  <c r="A61" i="7"/>
  <c r="A60" i="7"/>
  <c r="A59" i="7"/>
  <c r="A58" i="7"/>
  <c r="A57" i="7"/>
  <c r="A56" i="7"/>
  <c r="A55" i="7"/>
  <c r="A54" i="7"/>
  <c r="A53" i="7"/>
  <c r="A52" i="7"/>
  <c r="A51" i="7"/>
  <c r="A50" i="7"/>
  <c r="A49" i="7"/>
  <c r="A48" i="7"/>
  <c r="A47" i="7"/>
  <c r="A46" i="7"/>
  <c r="A45" i="7"/>
  <c r="A44" i="7"/>
  <c r="A43" i="7"/>
  <c r="A42" i="7"/>
  <c r="A41" i="7"/>
  <c r="A40" i="7"/>
  <c r="A39" i="7"/>
  <c r="A38" i="7"/>
  <c r="A37" i="7"/>
  <c r="A36" i="7"/>
  <c r="A35" i="7"/>
  <c r="A34" i="7"/>
  <c r="A33" i="7"/>
  <c r="A32" i="7"/>
  <c r="A31" i="7"/>
  <c r="A30" i="7"/>
  <c r="A29" i="7"/>
  <c r="A28" i="7"/>
  <c r="A27" i="7"/>
  <c r="A26" i="7"/>
  <c r="A25" i="7"/>
  <c r="A24" i="7"/>
  <c r="A23" i="7"/>
  <c r="A22" i="7"/>
  <c r="A21" i="7"/>
  <c r="A20" i="7"/>
  <c r="A19" i="7"/>
  <c r="A18" i="7"/>
  <c r="A17" i="7"/>
  <c r="A16" i="7"/>
  <c r="A17" i="5"/>
  <c r="C16" i="5"/>
  <c r="A16" i="5"/>
  <c r="H13" i="7"/>
  <c r="E13" i="7"/>
  <c r="E16" i="13" l="1"/>
  <c r="A14" i="11"/>
  <c r="A15" i="11"/>
  <c r="A17" i="11"/>
  <c r="A18" i="11"/>
  <c r="A19" i="11"/>
  <c r="A20" i="11"/>
  <c r="A21" i="11"/>
  <c r="A22" i="11"/>
  <c r="A23" i="11"/>
  <c r="AD16" i="5" s="1"/>
  <c r="F16" i="5"/>
  <c r="G16" i="5"/>
  <c r="I16" i="5"/>
  <c r="H16" i="5"/>
  <c r="C17" i="5"/>
  <c r="E16" i="12"/>
  <c r="F16" i="6"/>
  <c r="N16" i="5"/>
  <c r="A16" i="12"/>
  <c r="B16" i="6"/>
  <c r="J16" i="6" s="1" a="1"/>
  <c r="J16" i="6" s="1"/>
  <c r="AE16" i="5"/>
  <c r="B16" i="5"/>
  <c r="W16" i="5"/>
  <c r="H16" i="12" s="1"/>
  <c r="J4" i="15"/>
  <c r="AB13" i="12" a="1"/>
  <c r="AB13" i="12" s="1"/>
  <c r="I69" i="10"/>
  <c r="I17" i="5" l="1"/>
  <c r="C18" i="5"/>
  <c r="C19" i="5" s="1"/>
  <c r="E16" i="5"/>
  <c r="B14" i="11" s="1"/>
  <c r="G14" i="11" s="1"/>
  <c r="F14" i="13" s="1"/>
  <c r="B17" i="6"/>
  <c r="J17" i="6" s="1" a="1"/>
  <c r="J17" i="6" s="1"/>
  <c r="A17" i="12"/>
  <c r="N17" i="5"/>
  <c r="D17" i="6" s="1"/>
  <c r="AE17" i="5"/>
  <c r="AD17" i="5"/>
  <c r="G17" i="5"/>
  <c r="F17" i="5"/>
  <c r="B17" i="5"/>
  <c r="W17" i="5"/>
  <c r="H17" i="12" s="1"/>
  <c r="H17" i="5"/>
  <c r="D16" i="6"/>
  <c r="P7" i="13"/>
  <c r="M8" i="12" a="1"/>
  <c r="M8" i="12" s="1"/>
  <c r="H38" i="8" a="1"/>
  <c r="H38" i="8" s="1"/>
  <c r="H36" i="8" a="1"/>
  <c r="H36" i="8" s="1"/>
  <c r="F7" i="6" a="1"/>
  <c r="F7" i="6" s="1"/>
  <c r="F6" i="6" a="1"/>
  <c r="F6" i="6" s="1"/>
  <c r="Q1" i="6" a="1"/>
  <c r="Q1" i="6" s="1"/>
  <c r="O1" i="6" a="1"/>
  <c r="O1" i="6" s="1"/>
  <c r="C11" i="7" a="1"/>
  <c r="C11" i="7" s="1"/>
  <c r="F8" i="7" a="1"/>
  <c r="F8" i="7" s="1"/>
  <c r="C122" i="3"/>
  <c r="C120" i="3"/>
  <c r="AC27" i="5"/>
  <c r="AJ19" i="13"/>
  <c r="AL14" i="13"/>
  <c r="AK19" i="13"/>
  <c r="AK21" i="13"/>
  <c r="AN17" i="13"/>
  <c r="AM18" i="13"/>
  <c r="AO19" i="13"/>
  <c r="AK22" i="13"/>
  <c r="AM20" i="13"/>
  <c r="AL21" i="13"/>
  <c r="AK17" i="13"/>
  <c r="AL23" i="13"/>
  <c r="AO15" i="13"/>
  <c r="AN21" i="13"/>
  <c r="AL17" i="13"/>
  <c r="AM22" i="13"/>
  <c r="AM19" i="13"/>
  <c r="AJ20" i="13"/>
  <c r="AO17" i="13"/>
  <c r="AL15" i="13"/>
  <c r="AL16" i="13"/>
  <c r="AJ22" i="13"/>
  <c r="AL19" i="13"/>
  <c r="AJ23" i="13"/>
  <c r="AO22" i="13"/>
  <c r="AM15" i="13"/>
  <c r="AM16" i="13"/>
  <c r="AK15" i="13"/>
  <c r="F10" i="12" a="1"/>
  <c r="AJ15" i="13"/>
  <c r="AM17" i="13"/>
  <c r="AO14" i="13"/>
  <c r="AN19" i="13"/>
  <c r="C22" i="15" a="1"/>
  <c r="G22" i="15" a="1"/>
  <c r="AN15" i="13"/>
  <c r="AN14" i="13"/>
  <c r="AJ18" i="13"/>
  <c r="AK16" i="13"/>
  <c r="AO18" i="13"/>
  <c r="AO21" i="13"/>
  <c r="AM21" i="13"/>
  <c r="AK18" i="13"/>
  <c r="AO20" i="13"/>
  <c r="AL20" i="13"/>
  <c r="AM23" i="13"/>
  <c r="AJ16" i="13"/>
  <c r="AN20" i="13"/>
  <c r="AL18" i="13"/>
  <c r="AJ21" i="13"/>
  <c r="AN16" i="13"/>
  <c r="AO16" i="13"/>
  <c r="AJ14" i="13"/>
  <c r="AK20" i="13"/>
  <c r="AJ17" i="13"/>
  <c r="AM14" i="13"/>
  <c r="AN22" i="13"/>
  <c r="AN23" i="13"/>
  <c r="AL22" i="13"/>
  <c r="AK23" i="13"/>
  <c r="AO23" i="13"/>
  <c r="AK14" i="13"/>
  <c r="AN18" i="13"/>
  <c r="B19" i="6" l="1"/>
  <c r="AD19" i="5"/>
  <c r="N19" i="5"/>
  <c r="AE19" i="5"/>
  <c r="D19" i="5"/>
  <c r="B19" i="12" s="1"/>
  <c r="K19" i="5"/>
  <c r="A19" i="12"/>
  <c r="J19" i="5"/>
  <c r="AD18" i="5"/>
  <c r="N18" i="5"/>
  <c r="B18" i="6"/>
  <c r="A18" i="12"/>
  <c r="K18" i="5"/>
  <c r="G18" i="5"/>
  <c r="G19" i="5" s="1"/>
  <c r="F18" i="5"/>
  <c r="F19" i="5" s="1"/>
  <c r="D18" i="5"/>
  <c r="B18" i="12" s="1"/>
  <c r="C20" i="5"/>
  <c r="AE18" i="5"/>
  <c r="J18" i="5"/>
  <c r="B18" i="5"/>
  <c r="B19" i="5" s="1"/>
  <c r="H18" i="5"/>
  <c r="H19" i="5" s="1"/>
  <c r="C22" i="15"/>
  <c r="F10" i="12"/>
  <c r="G22" i="15"/>
  <c r="C14" i="13"/>
  <c r="E17" i="5"/>
  <c r="K14" i="11"/>
  <c r="J14" i="13" s="1"/>
  <c r="A14" i="13"/>
  <c r="F17" i="6"/>
  <c r="E17" i="12"/>
  <c r="N16" i="6"/>
  <c r="M16" i="6"/>
  <c r="G16" i="6"/>
  <c r="H16" i="6"/>
  <c r="T16" i="5" s="1"/>
  <c r="M17" i="6"/>
  <c r="H17" i="6"/>
  <c r="T17" i="5" s="1"/>
  <c r="G17" i="12" s="1"/>
  <c r="G17" i="6"/>
  <c r="N17" i="6"/>
  <c r="R1" i="6" a="1"/>
  <c r="R1" i="6" s="1"/>
  <c r="S67" i="4"/>
  <c r="S107" i="4"/>
  <c r="S27" i="4"/>
  <c r="C124" i="3"/>
  <c r="K14" i="13"/>
  <c r="D19" i="6" l="1"/>
  <c r="D18" i="6"/>
  <c r="A20" i="12"/>
  <c r="AE20" i="5"/>
  <c r="J20" i="5"/>
  <c r="F20" i="5"/>
  <c r="B20" i="5"/>
  <c r="H20" i="5"/>
  <c r="D20" i="5"/>
  <c r="B20" i="12" s="1"/>
  <c r="G20" i="5"/>
  <c r="AD20" i="5"/>
  <c r="N20" i="5"/>
  <c r="K20" i="5"/>
  <c r="B20" i="6"/>
  <c r="E18" i="5"/>
  <c r="G16" i="12"/>
  <c r="S1" i="6" a="1"/>
  <c r="S1" i="6" s="1"/>
  <c r="H67" i="9"/>
  <c r="E19" i="5" l="1"/>
  <c r="E20" i="5" s="1"/>
  <c r="H19" i="6"/>
  <c r="T19" i="5" s="1"/>
  <c r="H18" i="6"/>
  <c r="T18" i="5" s="1"/>
  <c r="D20" i="6"/>
  <c r="T1" i="6" a="1"/>
  <c r="T1" i="6" s="1"/>
  <c r="C94" i="3"/>
  <c r="C92" i="3"/>
  <c r="G19" i="12" l="1"/>
  <c r="H20" i="6"/>
  <c r="T20" i="5" s="1"/>
  <c r="G18" i="12"/>
  <c r="C21" i="5"/>
  <c r="U1" i="6" a="1"/>
  <c r="U1" i="6" s="1"/>
  <c r="C98" i="3"/>
  <c r="B21" i="6" l="1"/>
  <c r="A21" i="12"/>
  <c r="AD21" i="5"/>
  <c r="N21" i="5"/>
  <c r="E21" i="5"/>
  <c r="G21" i="5"/>
  <c r="F21" i="5"/>
  <c r="AE21" i="5"/>
  <c r="B21" i="5"/>
  <c r="C22" i="5"/>
  <c r="H21" i="5"/>
  <c r="G20" i="12"/>
  <c r="V1" i="6" a="1"/>
  <c r="V1" i="6" s="1"/>
  <c r="C5" i="14"/>
  <c r="E2" i="12"/>
  <c r="D21" i="6" l="1"/>
  <c r="A22" i="12"/>
  <c r="B22" i="6"/>
  <c r="C23" i="5"/>
  <c r="C24" i="5" s="1"/>
  <c r="AE22" i="5"/>
  <c r="J22" i="5"/>
  <c r="F22" i="5"/>
  <c r="B22" i="5"/>
  <c r="AD22" i="5"/>
  <c r="N22" i="5"/>
  <c r="E22" i="5"/>
  <c r="H22" i="5"/>
  <c r="D22" i="5"/>
  <c r="B22" i="12" s="1"/>
  <c r="K22" i="5"/>
  <c r="G22" i="5"/>
  <c r="W1" i="6" a="1"/>
  <c r="W1" i="6" s="1"/>
  <c r="S12" i="11"/>
  <c r="B24" i="6" l="1"/>
  <c r="AD24" i="5"/>
  <c r="N24" i="5"/>
  <c r="K24" i="5"/>
  <c r="A24" i="12"/>
  <c r="AE24" i="5"/>
  <c r="D24" i="5"/>
  <c r="B24" i="12" s="1"/>
  <c r="J24" i="5"/>
  <c r="D22" i="6"/>
  <c r="H21" i="6"/>
  <c r="T21" i="5" s="1"/>
  <c r="B23" i="6"/>
  <c r="K23" i="5"/>
  <c r="G23" i="5"/>
  <c r="G24" i="5" s="1"/>
  <c r="A23" i="12"/>
  <c r="AE23" i="5"/>
  <c r="J23" i="5"/>
  <c r="F23" i="5"/>
  <c r="F24" i="5" s="1"/>
  <c r="B23" i="5"/>
  <c r="B24" i="5" s="1"/>
  <c r="AD23" i="5"/>
  <c r="N23" i="5"/>
  <c r="E23" i="5"/>
  <c r="E24" i="5" s="1"/>
  <c r="H23" i="5"/>
  <c r="H24" i="5" s="1"/>
  <c r="D23" i="5"/>
  <c r="B23" i="12" s="1"/>
  <c r="X1" i="6" a="1"/>
  <c r="X1" i="6" s="1"/>
  <c r="C1" i="7" a="1"/>
  <c r="C1" i="7" s="1"/>
  <c r="B1" i="7" s="1"/>
  <c r="D40" i="2"/>
  <c r="D39" i="2"/>
  <c r="D41" i="2"/>
  <c r="D37" i="2"/>
  <c r="D38" i="2"/>
  <c r="D36" i="2"/>
  <c r="D24" i="6" l="1"/>
  <c r="C25" i="5"/>
  <c r="A25" i="12" s="1"/>
  <c r="D23" i="6"/>
  <c r="H22" i="6"/>
  <c r="T22" i="5" s="1"/>
  <c r="G21" i="12"/>
  <c r="Y1" i="6" a="1"/>
  <c r="Y1" i="6" s="1"/>
  <c r="U11" i="4"/>
  <c r="U10" i="4"/>
  <c r="D31" i="2"/>
  <c r="D29" i="2"/>
  <c r="D28" i="2"/>
  <c r="D24" i="2"/>
  <c r="D23" i="2"/>
  <c r="D22" i="2"/>
  <c r="D19" i="2"/>
  <c r="D18" i="2"/>
  <c r="D17" i="2"/>
  <c r="D16" i="2"/>
  <c r="D11" i="2"/>
  <c r="D10" i="2"/>
  <c r="D9" i="2"/>
  <c r="D8" i="2"/>
  <c r="D7" i="2"/>
  <c r="D6" i="2"/>
  <c r="D5" i="2"/>
  <c r="D4" i="2"/>
  <c r="C116" i="3"/>
  <c r="C114" i="3"/>
  <c r="C110" i="3"/>
  <c r="C109" i="3"/>
  <c r="C106" i="3"/>
  <c r="C105" i="3"/>
  <c r="C101" i="3"/>
  <c r="C90" i="3"/>
  <c r="U106" i="4"/>
  <c r="U26" i="4"/>
  <c r="U66" i="4"/>
  <c r="AE25" i="5" l="1"/>
  <c r="G25" i="5"/>
  <c r="B25" i="5"/>
  <c r="AD25" i="5"/>
  <c r="B25" i="6"/>
  <c r="E25" i="5"/>
  <c r="F25" i="5"/>
  <c r="H25" i="5"/>
  <c r="N25" i="5"/>
  <c r="D25" i="6" s="1"/>
  <c r="C26" i="5"/>
  <c r="H24" i="6"/>
  <c r="T24" i="5" s="1"/>
  <c r="H23" i="6"/>
  <c r="T23" i="5" s="1"/>
  <c r="G22" i="12"/>
  <c r="Z1" i="6" a="1"/>
  <c r="Z1" i="6" s="1"/>
  <c r="D27" i="2"/>
  <c r="D15" i="2"/>
  <c r="D35" i="2"/>
  <c r="D3" i="2"/>
  <c r="D26" i="5" l="1"/>
  <c r="B26" i="12" s="1"/>
  <c r="AD26" i="5"/>
  <c r="AE26" i="5"/>
  <c r="B26" i="5"/>
  <c r="G26" i="5"/>
  <c r="H26" i="5"/>
  <c r="B26" i="6"/>
  <c r="F26" i="5"/>
  <c r="K26" i="5"/>
  <c r="E26" i="5"/>
  <c r="J26" i="5"/>
  <c r="A26" i="12"/>
  <c r="N26" i="5"/>
  <c r="D26" i="6" s="1"/>
  <c r="G24" i="12"/>
  <c r="H25" i="6"/>
  <c r="T25" i="5" s="1"/>
  <c r="G23" i="12"/>
  <c r="M1" i="6"/>
  <c r="I13" i="7" s="1"/>
  <c r="J13" i="7" s="1"/>
  <c r="K13" i="7" s="1"/>
  <c r="L13" i="7" s="1"/>
  <c r="M13" i="7" s="1"/>
  <c r="N13" i="7" s="1"/>
  <c r="O13" i="7" s="1"/>
  <c r="P13" i="7" s="1"/>
  <c r="Q13" i="7" s="1"/>
  <c r="R13" i="7" s="1"/>
  <c r="S13" i="7" s="1"/>
  <c r="T13" i="7" s="1"/>
  <c r="U13" i="7" s="1"/>
  <c r="V13" i="7" s="1"/>
  <c r="W13" i="7" s="1"/>
  <c r="X13" i="7" s="1"/>
  <c r="Y13" i="7" s="1"/>
  <c r="H10" i="7"/>
  <c r="G25" i="12" l="1"/>
  <c r="H26" i="6"/>
  <c r="T26" i="5" s="1"/>
  <c r="AG38" i="8"/>
  <c r="G26" i="12" l="1"/>
  <c r="C103" i="3"/>
  <c r="C100" i="3"/>
  <c r="C96" i="3"/>
  <c r="C93" i="3" l="1"/>
  <c r="C112" i="3" l="1"/>
  <c r="C108" i="3"/>
  <c r="C70" i="3"/>
  <c r="L35" i="13"/>
  <c r="L34" i="13" s="1"/>
  <c r="C84" i="3"/>
  <c r="C56" i="3" l="1"/>
  <c r="Q13" i="6" l="1"/>
  <c r="A1" i="7"/>
  <c r="V70" i="7" a="1"/>
  <c r="V70" i="7" s="1"/>
  <c r="Y5" i="7"/>
  <c r="X5" i="7"/>
  <c r="P5" i="7"/>
  <c r="C60" i="3"/>
  <c r="S4" i="8"/>
  <c r="F5" i="7"/>
  <c r="R13" i="6" l="1"/>
  <c r="S13" i="6" s="1"/>
  <c r="V71" i="7"/>
  <c r="V72" i="7"/>
  <c r="N5" i="7"/>
  <c r="O5" i="7"/>
  <c r="T13" i="6" l="1"/>
  <c r="E10" i="7"/>
  <c r="C57" i="3"/>
  <c r="C82" i="3"/>
  <c r="C77" i="3"/>
  <c r="B78" i="9"/>
  <c r="D71" i="7"/>
  <c r="V77" i="9" a="1"/>
  <c r="V79" i="9" s="1"/>
  <c r="B75" i="9"/>
  <c r="J67" i="9"/>
  <c r="L67" i="9" s="1"/>
  <c r="N67" i="9" s="1"/>
  <c r="P67" i="9" s="1"/>
  <c r="R67" i="9" s="1"/>
  <c r="T67" i="9" s="1"/>
  <c r="V67" i="9" s="1"/>
  <c r="X67" i="9" s="1"/>
  <c r="Z67" i="9" s="1"/>
  <c r="AB67" i="9" s="1"/>
  <c r="AD67" i="9" s="1"/>
  <c r="M5" i="9"/>
  <c r="J5" i="9"/>
  <c r="G5" i="9"/>
  <c r="B5" i="9"/>
  <c r="U13" i="6" l="1"/>
  <c r="V77" i="9"/>
  <c r="V78" i="9"/>
  <c r="L70" i="7" a="1"/>
  <c r="L72" i="7" s="1"/>
  <c r="D68" i="7"/>
  <c r="C5" i="7"/>
  <c r="V13" i="6" l="1"/>
  <c r="L70" i="7"/>
  <c r="L71" i="7"/>
  <c r="C69" i="3"/>
  <c r="C86" i="3"/>
  <c r="C81" i="3"/>
  <c r="C80" i="3"/>
  <c r="C79" i="3"/>
  <c r="C76" i="3"/>
  <c r="C75" i="3"/>
  <c r="C74" i="3"/>
  <c r="C67" i="3"/>
  <c r="C65" i="3"/>
  <c r="C64" i="3"/>
  <c r="C61" i="3"/>
  <c r="C62" i="3"/>
  <c r="C59" i="3"/>
  <c r="C58" i="3"/>
  <c r="C72" i="3"/>
  <c r="S108" i="4" a="1"/>
  <c r="S108" i="4" s="1"/>
  <c r="X108" i="4" s="1"/>
  <c r="S68" i="4" a="1"/>
  <c r="S68" i="4" s="1"/>
  <c r="X68" i="4" s="1"/>
  <c r="S28" i="4" a="1"/>
  <c r="S28" i="4" s="1"/>
  <c r="Y28" i="4" s="1"/>
  <c r="J10" i="7" l="1"/>
  <c r="I10" i="7"/>
  <c r="W13" i="6"/>
  <c r="X28" i="4"/>
  <c r="Z108" i="4"/>
  <c r="Y108" i="4"/>
  <c r="Z68" i="4"/>
  <c r="Y68" i="4"/>
  <c r="Z28" i="4"/>
  <c r="E28" i="14"/>
  <c r="C15" i="14"/>
  <c r="L4" i="13"/>
  <c r="I5" i="12"/>
  <c r="F4" i="11"/>
  <c r="D7" i="10"/>
  <c r="K8" i="8"/>
  <c r="L5" i="4"/>
  <c r="C14" i="15"/>
  <c r="C52" i="3"/>
  <c r="G10" i="6" a="1"/>
  <c r="G10" i="6" s="1"/>
  <c r="Q5" i="5" a="1"/>
  <c r="Q5" i="5" s="1"/>
  <c r="F9" i="5"/>
  <c r="F8" i="5"/>
  <c r="P85" i="4"/>
  <c r="C51" i="3"/>
  <c r="C47" i="3"/>
  <c r="C43" i="3"/>
  <c r="C41" i="3"/>
  <c r="C39" i="3"/>
  <c r="E2" i="15"/>
  <c r="C34" i="3"/>
  <c r="C32" i="3"/>
  <c r="A12" i="6"/>
  <c r="AX13" i="6"/>
  <c r="AX12" i="6" s="1"/>
  <c r="AB13" i="6"/>
  <c r="AB12" i="6" s="1"/>
  <c r="AM13" i="6"/>
  <c r="AM12" i="6" s="1"/>
  <c r="H12" i="10"/>
  <c r="H11" i="10" s="1"/>
  <c r="U27" i="4"/>
  <c r="BG15" i="6"/>
  <c r="BF15" i="6"/>
  <c r="BE15" i="6"/>
  <c r="BD15" i="6"/>
  <c r="BC15" i="6"/>
  <c r="BB15" i="6"/>
  <c r="BA15" i="6"/>
  <c r="AZ15" i="6"/>
  <c r="AY15" i="6"/>
  <c r="AX15" i="6"/>
  <c r="G12" i="9"/>
  <c r="G11" i="9" s="1"/>
  <c r="C20" i="3"/>
  <c r="C22" i="3"/>
  <c r="C24" i="3"/>
  <c r="C26" i="3"/>
  <c r="C28" i="3"/>
  <c r="C19" i="3"/>
  <c r="C15" i="3"/>
  <c r="C14" i="3"/>
  <c r="C12" i="3"/>
  <c r="I36" i="11"/>
  <c r="I35" i="11"/>
  <c r="AA41" i="8" a="1"/>
  <c r="T33" i="6" a="1"/>
  <c r="T35" i="6" s="1"/>
  <c r="I33" i="6" a="1"/>
  <c r="I34" i="6" s="1"/>
  <c r="C2" i="4"/>
  <c r="Z7" i="11"/>
  <c r="V12" i="8"/>
  <c r="E12" i="8"/>
  <c r="A14" i="5"/>
  <c r="C14" i="5" s="1"/>
  <c r="AV15" i="6"/>
  <c r="AU15" i="6"/>
  <c r="AT15" i="6"/>
  <c r="AS15" i="6"/>
  <c r="AR15" i="6"/>
  <c r="AQ15" i="6"/>
  <c r="AP15" i="6"/>
  <c r="AO15" i="6"/>
  <c r="AN15" i="6"/>
  <c r="AM15" i="6"/>
  <c r="D12" i="11"/>
  <c r="A12" i="11" s="1"/>
  <c r="L39" i="13"/>
  <c r="U107" i="4"/>
  <c r="U67" i="4"/>
  <c r="C8" i="4"/>
  <c r="C9" i="4"/>
  <c r="C10" i="4"/>
  <c r="C11" i="4"/>
  <c r="C12" i="4"/>
  <c r="C13" i="4"/>
  <c r="L46" i="13"/>
  <c r="B1" i="8"/>
  <c r="C10" i="15"/>
  <c r="E24" i="15"/>
  <c r="E22" i="15"/>
  <c r="G18" i="15"/>
  <c r="E18" i="15"/>
  <c r="C18" i="15"/>
  <c r="C12" i="15"/>
  <c r="E12" i="15"/>
  <c r="G10" i="15"/>
  <c r="E10" i="15"/>
  <c r="B20" i="15"/>
  <c r="B16" i="15"/>
  <c r="B8" i="15"/>
  <c r="O1" i="4"/>
  <c r="A3" i="4"/>
  <c r="C3" i="4" s="1"/>
  <c r="J5" i="4"/>
  <c r="N5" i="4"/>
  <c r="J8" i="4"/>
  <c r="C14" i="4"/>
  <c r="A15" i="4"/>
  <c r="C15" i="4" s="1"/>
  <c r="C20" i="4"/>
  <c r="A21" i="4"/>
  <c r="A22" i="4" s="1"/>
  <c r="A23" i="4" s="1"/>
  <c r="A24" i="4" s="1"/>
  <c r="A25" i="4" s="1"/>
  <c r="C25" i="4" s="1"/>
  <c r="J21" i="4"/>
  <c r="R21" i="4"/>
  <c r="J22" i="4"/>
  <c r="R22" i="4"/>
  <c r="J23" i="4"/>
  <c r="R23" i="4"/>
  <c r="J24" i="4"/>
  <c r="R24" i="4"/>
  <c r="J25" i="4"/>
  <c r="R25" i="4"/>
  <c r="C26" i="4"/>
  <c r="A27" i="4"/>
  <c r="A28" i="4" s="1"/>
  <c r="A29" i="4" s="1"/>
  <c r="C29" i="4" s="1"/>
  <c r="C32" i="4"/>
  <c r="A33" i="4"/>
  <c r="A34" i="4" s="1"/>
  <c r="A35" i="4" s="1"/>
  <c r="N35" i="4"/>
  <c r="C38" i="4"/>
  <c r="C39" i="4"/>
  <c r="C40" i="4"/>
  <c r="C41" i="4"/>
  <c r="C42" i="4"/>
  <c r="C43" i="4"/>
  <c r="C44" i="4"/>
  <c r="J38" i="4"/>
  <c r="A45" i="4"/>
  <c r="A46" i="4" s="1"/>
  <c r="A47" i="4" s="1"/>
  <c r="A48" i="4" s="1"/>
  <c r="A49" i="4" s="1"/>
  <c r="C49" i="4" s="1"/>
  <c r="J40" i="4"/>
  <c r="J45" i="4"/>
  <c r="K50" i="4" a="1"/>
  <c r="K52" i="4" s="1"/>
  <c r="J61" i="4"/>
  <c r="R61" i="4"/>
  <c r="J62" i="4"/>
  <c r="R62" i="4"/>
  <c r="J63" i="4"/>
  <c r="R63" i="4"/>
  <c r="J64" i="4"/>
  <c r="R64" i="4"/>
  <c r="J65" i="4"/>
  <c r="R65" i="4"/>
  <c r="N75" i="4"/>
  <c r="J78" i="4"/>
  <c r="J80" i="4"/>
  <c r="J85" i="4"/>
  <c r="K90" i="4" a="1"/>
  <c r="K92" i="4" s="1"/>
  <c r="J101" i="4"/>
  <c r="R101" i="4"/>
  <c r="J102" i="4"/>
  <c r="R102" i="4"/>
  <c r="J103" i="4"/>
  <c r="R103" i="4"/>
  <c r="J104" i="4"/>
  <c r="R104" i="4"/>
  <c r="J105" i="4"/>
  <c r="R105" i="4"/>
  <c r="N115" i="4"/>
  <c r="J118" i="4"/>
  <c r="J120" i="4"/>
  <c r="J125" i="4"/>
  <c r="K130" i="4" a="1"/>
  <c r="K131" i="4" s="1"/>
  <c r="E1" i="12"/>
  <c r="D5" i="12"/>
  <c r="F5" i="12"/>
  <c r="J5" i="12"/>
  <c r="O5" i="12"/>
  <c r="A7" i="12"/>
  <c r="I7" i="12"/>
  <c r="D8" i="12"/>
  <c r="E8" i="12"/>
  <c r="F8" i="12"/>
  <c r="I8" i="12"/>
  <c r="J12" i="12"/>
  <c r="Q12" i="12"/>
  <c r="V13" i="12"/>
  <c r="W13" i="12"/>
  <c r="X13" i="12"/>
  <c r="D15" i="12"/>
  <c r="AB15" i="12"/>
  <c r="D36" i="12"/>
  <c r="E37" i="12"/>
  <c r="K39" i="12" a="1"/>
  <c r="K41" i="12" s="1"/>
  <c r="E10" i="6"/>
  <c r="I10" i="6"/>
  <c r="K10" i="6"/>
  <c r="S10" i="6"/>
  <c r="U10" i="6"/>
  <c r="O13" i="6"/>
  <c r="O15" i="6" s="1"/>
  <c r="O11" i="6" s="1"/>
  <c r="B15" i="6"/>
  <c r="C15" i="6"/>
  <c r="D15" i="6"/>
  <c r="E15" i="6"/>
  <c r="B27" i="6"/>
  <c r="C27" i="6"/>
  <c r="F31" i="6"/>
  <c r="S5" i="8"/>
  <c r="Z7" i="8"/>
  <c r="AF7" i="8"/>
  <c r="I8" i="8"/>
  <c r="L8" i="8"/>
  <c r="U8" i="8"/>
  <c r="Z8" i="8"/>
  <c r="AF8" i="8"/>
  <c r="E13" i="8"/>
  <c r="V13" i="8"/>
  <c r="W13" i="8" s="1"/>
  <c r="X13" i="8" s="1"/>
  <c r="Y13" i="8" s="1"/>
  <c r="Z13" i="8" s="1"/>
  <c r="AA13" i="8" s="1"/>
  <c r="AB13" i="8" s="1"/>
  <c r="AC13" i="8" s="1"/>
  <c r="AD13" i="8" s="1"/>
  <c r="AE13" i="8" s="1"/>
  <c r="AF13" i="8" s="1"/>
  <c r="T28" i="8"/>
  <c r="T33" i="8"/>
  <c r="I39" i="8"/>
  <c r="B1" i="9"/>
  <c r="E12" i="9"/>
  <c r="E11" i="9" s="1"/>
  <c r="I2" i="2"/>
  <c r="K2" i="2"/>
  <c r="M2" i="2"/>
  <c r="O2" i="2"/>
  <c r="Q2" i="2"/>
  <c r="S2" i="2"/>
  <c r="U2" i="2"/>
  <c r="W2" i="2"/>
  <c r="Y2" i="2"/>
  <c r="AA2" i="2"/>
  <c r="AC2" i="2"/>
  <c r="AE2" i="2"/>
  <c r="AG2" i="2"/>
  <c r="AI2" i="2"/>
  <c r="AK2" i="2"/>
  <c r="AM2" i="2"/>
  <c r="AO2" i="2"/>
  <c r="B9" i="2"/>
  <c r="C8" i="3"/>
  <c r="C9" i="3"/>
  <c r="C18" i="14"/>
  <c r="C19" i="14"/>
  <c r="B22" i="14"/>
  <c r="B24" i="14"/>
  <c r="B30" i="14"/>
  <c r="B54" i="14"/>
  <c r="B55" i="14"/>
  <c r="O5" i="5"/>
  <c r="R5" i="5"/>
  <c r="S5" i="5"/>
  <c r="O37" i="5"/>
  <c r="M15" i="5"/>
  <c r="N15" i="5"/>
  <c r="O15" i="5"/>
  <c r="O40" i="5"/>
  <c r="T42" i="5" a="1"/>
  <c r="T42" i="5" s="1"/>
  <c r="B1" i="10"/>
  <c r="H4" i="10"/>
  <c r="V6" i="10"/>
  <c r="AE6" i="10"/>
  <c r="B7" i="10"/>
  <c r="H7" i="10"/>
  <c r="O7" i="10"/>
  <c r="V7" i="10"/>
  <c r="AE7" i="10"/>
  <c r="F12" i="10"/>
  <c r="F11" i="10" s="1"/>
  <c r="B77" i="10"/>
  <c r="W79" i="10" a="1"/>
  <c r="W80" i="10" s="1"/>
  <c r="D4" i="11"/>
  <c r="G4" i="11"/>
  <c r="J4" i="11"/>
  <c r="M6" i="11"/>
  <c r="D7" i="11"/>
  <c r="L7" i="11"/>
  <c r="M7" i="11"/>
  <c r="N7" i="11"/>
  <c r="J12" i="11"/>
  <c r="I12" i="13" s="1"/>
  <c r="L13" i="11"/>
  <c r="L9" i="11" s="1"/>
  <c r="D33" i="11"/>
  <c r="F1" i="13"/>
  <c r="E4" i="13"/>
  <c r="I4" i="13"/>
  <c r="P4" i="13"/>
  <c r="M6" i="13"/>
  <c r="E7" i="13"/>
  <c r="I7" i="13"/>
  <c r="M7" i="13"/>
  <c r="N7" i="13"/>
  <c r="M11" i="13"/>
  <c r="Y11" i="13"/>
  <c r="G12" i="13"/>
  <c r="H12" i="13"/>
  <c r="J25" i="13"/>
  <c r="AC2" i="13" s="1"/>
  <c r="E35" i="13"/>
  <c r="E39" i="13"/>
  <c r="F40" i="13"/>
  <c r="M40" i="13"/>
  <c r="E41" i="13"/>
  <c r="F41" i="13"/>
  <c r="L41" i="13"/>
  <c r="M41" i="13"/>
  <c r="M42" i="13"/>
  <c r="L43" i="13"/>
  <c r="M43" i="13"/>
  <c r="E46" i="13"/>
  <c r="E48" i="13"/>
  <c r="L48" i="13"/>
  <c r="E49" i="13"/>
  <c r="L49" i="13"/>
  <c r="D34" i="12"/>
  <c r="K130" i="4"/>
  <c r="O8" i="5"/>
  <c r="V64" i="7" l="1" a="1"/>
  <c r="V64" i="7" s="1"/>
  <c r="P64" i="7" a="1"/>
  <c r="P64" i="7" s="1"/>
  <c r="R64" i="7" a="1"/>
  <c r="R64" i="7" s="1"/>
  <c r="X64" i="7" a="1"/>
  <c r="X64" i="7" s="1"/>
  <c r="K64" i="7" a="1"/>
  <c r="K64" i="7" s="1"/>
  <c r="U63" i="7" a="1"/>
  <c r="U63" i="7" s="1"/>
  <c r="O63" i="7" a="1"/>
  <c r="O63" i="7" s="1"/>
  <c r="I63" i="7" a="1"/>
  <c r="I63" i="7" s="1"/>
  <c r="Y62" i="7" a="1"/>
  <c r="Y62" i="7" s="1"/>
  <c r="S62" i="7" a="1"/>
  <c r="S62" i="7" s="1"/>
  <c r="M62" i="7" a="1"/>
  <c r="M62" i="7" s="1"/>
  <c r="F62" i="7"/>
  <c r="W61" i="7" a="1"/>
  <c r="W61" i="7" s="1"/>
  <c r="Q61" i="7" a="1"/>
  <c r="Q61" i="7" s="1"/>
  <c r="K61" i="7" a="1"/>
  <c r="K61" i="7" s="1"/>
  <c r="U60" i="7" a="1"/>
  <c r="U60" i="7" s="1"/>
  <c r="O60" i="7" a="1"/>
  <c r="O60" i="7" s="1"/>
  <c r="I60" i="7" a="1"/>
  <c r="I60" i="7" s="1"/>
  <c r="Y59" i="7" a="1"/>
  <c r="Y59" i="7" s="1"/>
  <c r="S59" i="7" a="1"/>
  <c r="S59" i="7" s="1"/>
  <c r="M59" i="7" a="1"/>
  <c r="M59" i="7" s="1"/>
  <c r="F59" i="7"/>
  <c r="W58" i="7" a="1"/>
  <c r="W58" i="7" s="1"/>
  <c r="Q58" i="7" a="1"/>
  <c r="Q58" i="7" s="1"/>
  <c r="K58" i="7" a="1"/>
  <c r="K58" i="7" s="1"/>
  <c r="U57" i="7" a="1"/>
  <c r="U57" i="7" s="1"/>
  <c r="O57" i="7" a="1"/>
  <c r="O57" i="7" s="1"/>
  <c r="I57" i="7" a="1"/>
  <c r="I57" i="7" s="1"/>
  <c r="Y56" i="7" a="1"/>
  <c r="Y56" i="7" s="1"/>
  <c r="S56" i="7" a="1"/>
  <c r="S56" i="7" s="1"/>
  <c r="M56" i="7" a="1"/>
  <c r="M56" i="7" s="1"/>
  <c r="F56" i="7"/>
  <c r="W55" i="7" a="1"/>
  <c r="W55" i="7" s="1"/>
  <c r="Q55" i="7" a="1"/>
  <c r="Q55" i="7" s="1"/>
  <c r="K55" i="7" a="1"/>
  <c r="K55" i="7" s="1"/>
  <c r="Q64" i="7" a="1"/>
  <c r="Q64" i="7" s="1"/>
  <c r="M64" i="7" a="1"/>
  <c r="M64" i="7" s="1"/>
  <c r="F64" i="7"/>
  <c r="W63" i="7" a="1"/>
  <c r="W63" i="7" s="1"/>
  <c r="Q63" i="7" a="1"/>
  <c r="Q63" i="7" s="1"/>
  <c r="K63" i="7" a="1"/>
  <c r="K63" i="7" s="1"/>
  <c r="U62" i="7" a="1"/>
  <c r="U62" i="7" s="1"/>
  <c r="O62" i="7" a="1"/>
  <c r="O62" i="7" s="1"/>
  <c r="I62" i="7" a="1"/>
  <c r="I62" i="7" s="1"/>
  <c r="Y61" i="7" a="1"/>
  <c r="Y61" i="7" s="1"/>
  <c r="S61" i="7" a="1"/>
  <c r="S61" i="7" s="1"/>
  <c r="M61" i="7" a="1"/>
  <c r="M61" i="7" s="1"/>
  <c r="F61" i="7"/>
  <c r="W60" i="7" a="1"/>
  <c r="W60" i="7" s="1"/>
  <c r="Q60" i="7" a="1"/>
  <c r="Q60" i="7" s="1"/>
  <c r="K60" i="7" a="1"/>
  <c r="K60" i="7" s="1"/>
  <c r="U59" i="7" a="1"/>
  <c r="U59" i="7" s="1"/>
  <c r="O59" i="7" a="1"/>
  <c r="O59" i="7" s="1"/>
  <c r="I59" i="7" a="1"/>
  <c r="I59" i="7" s="1"/>
  <c r="Y58" i="7" a="1"/>
  <c r="Y58" i="7" s="1"/>
  <c r="S58" i="7" a="1"/>
  <c r="S58" i="7" s="1"/>
  <c r="M58" i="7" a="1"/>
  <c r="M58" i="7" s="1"/>
  <c r="F58" i="7"/>
  <c r="R57" i="7" a="1"/>
  <c r="R57" i="7" s="1"/>
  <c r="P56" i="7" a="1"/>
  <c r="P56" i="7" s="1"/>
  <c r="N55" i="7" a="1"/>
  <c r="N55" i="7" s="1"/>
  <c r="U54" i="7" a="1"/>
  <c r="U54" i="7" s="1"/>
  <c r="F53" i="7"/>
  <c r="O51" i="7" a="1"/>
  <c r="O51" i="7" s="1"/>
  <c r="W49" i="7" a="1"/>
  <c r="W49" i="7" s="1"/>
  <c r="I48" i="7" a="1"/>
  <c r="I48" i="7" s="1"/>
  <c r="X47" i="7" a="1"/>
  <c r="X47" i="7" s="1"/>
  <c r="K47" i="7" a="1"/>
  <c r="K47" i="7" s="1"/>
  <c r="O64" i="7" a="1"/>
  <c r="O64" i="7" s="1"/>
  <c r="S63" i="7" a="1"/>
  <c r="S63" i="7" s="1"/>
  <c r="W62" i="7" a="1"/>
  <c r="W62" i="7" s="1"/>
  <c r="I61" i="7" a="1"/>
  <c r="I61" i="7" s="1"/>
  <c r="M60" i="7" a="1"/>
  <c r="M60" i="7" s="1"/>
  <c r="Q59" i="7" a="1"/>
  <c r="Q59" i="7" s="1"/>
  <c r="U58" i="7" a="1"/>
  <c r="U58" i="7" s="1"/>
  <c r="Y57" i="7" a="1"/>
  <c r="Y57" i="7" s="1"/>
  <c r="J57" i="7" a="1"/>
  <c r="J57" i="7" s="1"/>
  <c r="W56" i="7" a="1"/>
  <c r="W56" i="7" s="1"/>
  <c r="H56" i="7" a="1"/>
  <c r="H56" i="7" s="1"/>
  <c r="U55" i="7" a="1"/>
  <c r="U55" i="7" s="1"/>
  <c r="E55" i="7" a="1"/>
  <c r="E55" i="7" s="1"/>
  <c r="T54" i="7" a="1"/>
  <c r="T54" i="7" s="1"/>
  <c r="M54" i="7" a="1"/>
  <c r="M54" i="7" s="1"/>
  <c r="E54" i="7" a="1"/>
  <c r="E54" i="7" s="1"/>
  <c r="U53" i="7" a="1"/>
  <c r="U53" i="7" s="1"/>
  <c r="N53" i="7" a="1"/>
  <c r="N53" i="7" s="1"/>
  <c r="E53" i="7" a="1"/>
  <c r="E53" i="7" s="1"/>
  <c r="U52" i="7" a="1"/>
  <c r="U52" i="7" s="1"/>
  <c r="N52" i="7" a="1"/>
  <c r="N52" i="7" s="1"/>
  <c r="F52" i="7"/>
  <c r="V51" i="7" a="1"/>
  <c r="V51" i="7" s="1"/>
  <c r="N51" i="7" a="1"/>
  <c r="N51" i="7" s="1"/>
  <c r="F51" i="7"/>
  <c r="V50" i="7" a="1"/>
  <c r="V50" i="7" s="1"/>
  <c r="O50" i="7" a="1"/>
  <c r="O50" i="7" s="1"/>
  <c r="H50" i="7" a="1"/>
  <c r="H50" i="7" s="1"/>
  <c r="V49" i="7" a="1"/>
  <c r="V49" i="7" s="1"/>
  <c r="O49" i="7" a="1"/>
  <c r="O49" i="7" s="1"/>
  <c r="H49" i="7" a="1"/>
  <c r="H49" i="7" s="1"/>
  <c r="W48" i="7" a="1"/>
  <c r="W48" i="7" s="1"/>
  <c r="P48" i="7" a="1"/>
  <c r="P48" i="7" s="1"/>
  <c r="H48" i="7" a="1"/>
  <c r="H48" i="7" s="1"/>
  <c r="Q47" i="7" a="1"/>
  <c r="Q47" i="7" s="1"/>
  <c r="T46" i="7" a="1"/>
  <c r="T46" i="7" s="1"/>
  <c r="N46" i="7" a="1"/>
  <c r="N46" i="7" s="1"/>
  <c r="H46" i="7" a="1"/>
  <c r="H46" i="7" s="1"/>
  <c r="X45" i="7" a="1"/>
  <c r="X45" i="7" s="1"/>
  <c r="W64" i="7" a="1"/>
  <c r="W64" i="7" s="1"/>
  <c r="N64" i="7" a="1"/>
  <c r="N64" i="7" s="1"/>
  <c r="R63" i="7" a="1"/>
  <c r="R63" i="7" s="1"/>
  <c r="H63" i="7" a="1"/>
  <c r="H63" i="7" s="1"/>
  <c r="V62" i="7" a="1"/>
  <c r="V62" i="7" s="1"/>
  <c r="L62" i="7" a="1"/>
  <c r="L62" i="7" s="1"/>
  <c r="P61" i="7" a="1"/>
  <c r="P61" i="7" s="1"/>
  <c r="H61" i="7" a="1"/>
  <c r="H61" i="7" s="1"/>
  <c r="T60" i="7" a="1"/>
  <c r="T60" i="7" s="1"/>
  <c r="L60" i="7" a="1"/>
  <c r="L60" i="7" s="1"/>
  <c r="X59" i="7" a="1"/>
  <c r="X59" i="7" s="1"/>
  <c r="P59" i="7" a="1"/>
  <c r="P59" i="7" s="1"/>
  <c r="E59" i="7" a="1"/>
  <c r="E59" i="7" s="1"/>
  <c r="T58" i="7" a="1"/>
  <c r="T58" i="7" s="1"/>
  <c r="J58" i="7" a="1"/>
  <c r="J58" i="7" s="1"/>
  <c r="X57" i="7" a="1"/>
  <c r="X57" i="7" s="1"/>
  <c r="V63" i="7" a="1"/>
  <c r="V63" i="7" s="1"/>
  <c r="H62" i="7" a="1"/>
  <c r="H62" i="7" s="1"/>
  <c r="L61" i="7" a="1"/>
  <c r="L61" i="7" s="1"/>
  <c r="P60" i="7" a="1"/>
  <c r="P60" i="7" s="1"/>
  <c r="T59" i="7" a="1"/>
  <c r="T59" i="7" s="1"/>
  <c r="X58" i="7" a="1"/>
  <c r="X58" i="7" s="1"/>
  <c r="E58" i="7" a="1"/>
  <c r="E58" i="7" s="1"/>
  <c r="S57" i="7" a="1"/>
  <c r="S57" i="7" s="1"/>
  <c r="Q56" i="7" a="1"/>
  <c r="Q56" i="7" s="1"/>
  <c r="X55" i="7" a="1"/>
  <c r="X55" i="7" s="1"/>
  <c r="H64" i="7" a="1"/>
  <c r="H64" i="7" s="1"/>
  <c r="T63" i="7" a="1"/>
  <c r="T63" i="7" s="1"/>
  <c r="L63" i="7" a="1"/>
  <c r="L63" i="7" s="1"/>
  <c r="X62" i="7" a="1"/>
  <c r="X62" i="7" s="1"/>
  <c r="P62" i="7" a="1"/>
  <c r="P62" i="7" s="1"/>
  <c r="E62" i="7" a="1"/>
  <c r="E62" i="7" s="1"/>
  <c r="T61" i="7" a="1"/>
  <c r="T61" i="7" s="1"/>
  <c r="J61" i="7" a="1"/>
  <c r="J61" i="7" s="1"/>
  <c r="X60" i="7" a="1"/>
  <c r="X60" i="7" s="1"/>
  <c r="N60" i="7" a="1"/>
  <c r="N60" i="7" s="1"/>
  <c r="E60" i="7" a="1"/>
  <c r="E60" i="7" s="1"/>
  <c r="R59" i="7" a="1"/>
  <c r="R59" i="7" s="1"/>
  <c r="J59" i="7" a="1"/>
  <c r="J59" i="7" s="1"/>
  <c r="V58" i="7" a="1"/>
  <c r="V58" i="7" s="1"/>
  <c r="N58" i="7" a="1"/>
  <c r="N58" i="7" s="1"/>
  <c r="K57" i="7" a="1"/>
  <c r="K57" i="7" s="1"/>
  <c r="X56" i="7" a="1"/>
  <c r="X56" i="7" s="1"/>
  <c r="I56" i="7" a="1"/>
  <c r="I56" i="7" s="1"/>
  <c r="V55" i="7" a="1"/>
  <c r="V55" i="7" s="1"/>
  <c r="F55" i="7"/>
  <c r="V54" i="7" a="1"/>
  <c r="V54" i="7" s="1"/>
  <c r="N54" i="7" a="1"/>
  <c r="N54" i="7" s="1"/>
  <c r="F54" i="7"/>
  <c r="T64" i="7" a="1"/>
  <c r="T64" i="7" s="1"/>
  <c r="Y63" i="7" a="1"/>
  <c r="Y63" i="7" s="1"/>
  <c r="J63" i="7" a="1"/>
  <c r="J63" i="7" s="1"/>
  <c r="R62" i="7" a="1"/>
  <c r="R62" i="7" s="1"/>
  <c r="R60" i="7" a="1"/>
  <c r="R60" i="7" s="1"/>
  <c r="W59" i="7" a="1"/>
  <c r="W59" i="7" s="1"/>
  <c r="H59" i="7" a="1"/>
  <c r="H59" i="7" s="1"/>
  <c r="W57" i="7" a="1"/>
  <c r="W57" i="7" s="1"/>
  <c r="H57" i="7" a="1"/>
  <c r="H57" i="7" s="1"/>
  <c r="E56" i="7" a="1"/>
  <c r="E56" i="7" s="1"/>
  <c r="H55" i="7" a="1"/>
  <c r="H55" i="7" s="1"/>
  <c r="S54" i="7" a="1"/>
  <c r="S54" i="7" s="1"/>
  <c r="W53" i="7" a="1"/>
  <c r="W53" i="7" s="1"/>
  <c r="O53" i="7" a="1"/>
  <c r="O53" i="7" s="1"/>
  <c r="S52" i="7" a="1"/>
  <c r="S52" i="7" s="1"/>
  <c r="J52" i="7" a="1"/>
  <c r="J52" i="7" s="1"/>
  <c r="X51" i="7" a="1"/>
  <c r="X51" i="7" s="1"/>
  <c r="P51" i="7" a="1"/>
  <c r="P51" i="7" s="1"/>
  <c r="E51" i="7" a="1"/>
  <c r="E51" i="7" s="1"/>
  <c r="T50" i="7" a="1"/>
  <c r="T50" i="7" s="1"/>
  <c r="K50" i="7" a="1"/>
  <c r="K50" i="7" s="1"/>
  <c r="Y49" i="7" a="1"/>
  <c r="Y49" i="7" s="1"/>
  <c r="P49" i="7" a="1"/>
  <c r="P49" i="7" s="1"/>
  <c r="F49" i="7"/>
  <c r="T48" i="7" a="1"/>
  <c r="T48" i="7" s="1"/>
  <c r="L48" i="7" a="1"/>
  <c r="L48" i="7" s="1"/>
  <c r="R47" i="7" a="1"/>
  <c r="R47" i="7" s="1"/>
  <c r="R45" i="7" a="1"/>
  <c r="R45" i="7" s="1"/>
  <c r="N44" i="7" a="1"/>
  <c r="N44" i="7" s="1"/>
  <c r="W43" i="7" a="1"/>
  <c r="W43" i="7" s="1"/>
  <c r="J43" i="7" a="1"/>
  <c r="J43" i="7" s="1"/>
  <c r="S42" i="7" a="1"/>
  <c r="S42" i="7" s="1"/>
  <c r="L42" i="7" a="1"/>
  <c r="L42" i="7" s="1"/>
  <c r="U41" i="7" a="1"/>
  <c r="U41" i="7" s="1"/>
  <c r="H41" i="7" a="1"/>
  <c r="H41" i="7" s="1"/>
  <c r="Q40" i="7" a="1"/>
  <c r="Q40" i="7" s="1"/>
  <c r="M39" i="7" a="1"/>
  <c r="M39" i="7" s="1"/>
  <c r="E39" i="7" a="1"/>
  <c r="E39" i="7" s="1"/>
  <c r="O38" i="7" a="1"/>
  <c r="O38" i="7" s="1"/>
  <c r="X37" i="7" a="1"/>
  <c r="X37" i="7" s="1"/>
  <c r="K37" i="7" a="1"/>
  <c r="K37" i="7" s="1"/>
  <c r="T36" i="7" a="1"/>
  <c r="T36" i="7" s="1"/>
  <c r="F36" i="7"/>
  <c r="V35" i="7" a="1"/>
  <c r="V35" i="7" s="1"/>
  <c r="I35" i="7" a="1"/>
  <c r="I35" i="7" s="1"/>
  <c r="R34" i="7" a="1"/>
  <c r="R34" i="7" s="1"/>
  <c r="N33" i="7" a="1"/>
  <c r="N33" i="7" s="1"/>
  <c r="S64" i="7" a="1"/>
  <c r="S64" i="7" s="1"/>
  <c r="O58" i="7" a="1"/>
  <c r="O58" i="7" s="1"/>
  <c r="F57" i="7"/>
  <c r="T56" i="7" a="1"/>
  <c r="T56" i="7" s="1"/>
  <c r="R55" i="7" a="1"/>
  <c r="R55" i="7" s="1"/>
  <c r="J54" i="7" a="1"/>
  <c r="J54" i="7" s="1"/>
  <c r="M53" i="7" a="1"/>
  <c r="M53" i="7" s="1"/>
  <c r="S50" i="7" a="1"/>
  <c r="S50" i="7" s="1"/>
  <c r="I47" i="7" a="1"/>
  <c r="I47" i="7" s="1"/>
  <c r="X46" i="7" a="1"/>
  <c r="X46" i="7" s="1"/>
  <c r="Q46" i="7" a="1"/>
  <c r="Q46" i="7" s="1"/>
  <c r="J46" i="7" a="1"/>
  <c r="J46" i="7" s="1"/>
  <c r="Y45" i="7" a="1"/>
  <c r="Y45" i="7" s="1"/>
  <c r="K45" i="7" a="1"/>
  <c r="K45" i="7" s="1"/>
  <c r="T44" i="7" a="1"/>
  <c r="T44" i="7" s="1"/>
  <c r="F44" i="7"/>
  <c r="P43" i="7" a="1"/>
  <c r="P43" i="7" s="1"/>
  <c r="Y42" i="7" a="1"/>
  <c r="Y42" i="7" s="1"/>
  <c r="R42" i="7" a="1"/>
  <c r="R42" i="7" s="1"/>
  <c r="N41" i="7" a="1"/>
  <c r="N41" i="7" s="1"/>
  <c r="W40" i="7" a="1"/>
  <c r="W40" i="7" s="1"/>
  <c r="J40" i="7" a="1"/>
  <c r="J40" i="7" s="1"/>
  <c r="S39" i="7" a="1"/>
  <c r="S39" i="7" s="1"/>
  <c r="L39" i="7" a="1"/>
  <c r="L39" i="7" s="1"/>
  <c r="U38" i="7" a="1"/>
  <c r="U38" i="7" s="1"/>
  <c r="H38" i="7" a="1"/>
  <c r="H38" i="7" s="1"/>
  <c r="Q37" i="7" a="1"/>
  <c r="Q37" i="7" s="1"/>
  <c r="M36" i="7" a="1"/>
  <c r="M36" i="7" s="1"/>
  <c r="E36" i="7" a="1"/>
  <c r="E36" i="7" s="1"/>
  <c r="O35" i="7" a="1"/>
  <c r="O35" i="7" s="1"/>
  <c r="X34" i="7" a="1"/>
  <c r="X34" i="7" s="1"/>
  <c r="K34" i="7" a="1"/>
  <c r="K34" i="7" s="1"/>
  <c r="T33" i="7" a="1"/>
  <c r="T33" i="7" s="1"/>
  <c r="F33" i="7"/>
  <c r="V32" i="7" a="1"/>
  <c r="V32" i="7" s="1"/>
  <c r="I32" i="7" a="1"/>
  <c r="I32" i="7" s="1"/>
  <c r="Y31" i="7" a="1"/>
  <c r="Y31" i="7" s="1"/>
  <c r="S31" i="7" a="1"/>
  <c r="S31" i="7" s="1"/>
  <c r="M31" i="7" a="1"/>
  <c r="M31" i="7" s="1"/>
  <c r="F31" i="7"/>
  <c r="W30" i="7" a="1"/>
  <c r="W30" i="7" s="1"/>
  <c r="Q30" i="7" a="1"/>
  <c r="Q30" i="7" s="1"/>
  <c r="K30" i="7" a="1"/>
  <c r="K30" i="7" s="1"/>
  <c r="X63" i="7" a="1"/>
  <c r="X63" i="7" s="1"/>
  <c r="F63" i="7"/>
  <c r="Q62" i="7" a="1"/>
  <c r="Q62" i="7" s="1"/>
  <c r="X61" i="7" a="1"/>
  <c r="X61" i="7" s="1"/>
  <c r="V59" i="7" a="1"/>
  <c r="V59" i="7" s="1"/>
  <c r="L58" i="7" a="1"/>
  <c r="L58" i="7" s="1"/>
  <c r="V57" i="7" a="1"/>
  <c r="V57" i="7" s="1"/>
  <c r="R56" i="7" a="1"/>
  <c r="R56" i="7" s="1"/>
  <c r="P55" i="7" a="1"/>
  <c r="P55" i="7" s="1"/>
  <c r="R54" i="7" a="1"/>
  <c r="R54" i="7" s="1"/>
  <c r="I54" i="7" a="1"/>
  <c r="I54" i="7" s="1"/>
  <c r="V53" i="7" a="1"/>
  <c r="V53" i="7" s="1"/>
  <c r="L53" i="7" a="1"/>
  <c r="L53" i="7" s="1"/>
  <c r="N62" i="7" a="1"/>
  <c r="N62" i="7" s="1"/>
  <c r="V61" i="7" a="1"/>
  <c r="V61" i="7" s="1"/>
  <c r="T57" i="7" a="1"/>
  <c r="T57" i="7" s="1"/>
  <c r="E57" i="7" a="1"/>
  <c r="E57" i="7" s="1"/>
  <c r="H54" i="7" a="1"/>
  <c r="H54" i="7" s="1"/>
  <c r="Q52" i="7" a="1"/>
  <c r="Q52" i="7" s="1"/>
  <c r="U51" i="7" a="1"/>
  <c r="U51" i="7" s="1"/>
  <c r="W47" i="7" a="1"/>
  <c r="W47" i="7" s="1"/>
  <c r="H47" i="7" a="1"/>
  <c r="H47" i="7" s="1"/>
  <c r="W46" i="7" a="1"/>
  <c r="W46" i="7" s="1"/>
  <c r="P46" i="7" a="1"/>
  <c r="P46" i="7" s="1"/>
  <c r="I46" i="7" a="1"/>
  <c r="I46" i="7" s="1"/>
  <c r="W45" i="7" a="1"/>
  <c r="W45" i="7" s="1"/>
  <c r="J45" i="7" a="1"/>
  <c r="J45" i="7" s="1"/>
  <c r="S44" i="7" a="1"/>
  <c r="S44" i="7" s="1"/>
  <c r="E44" i="7" a="1"/>
  <c r="E44" i="7" s="1"/>
  <c r="O43" i="7" a="1"/>
  <c r="O43" i="7" s="1"/>
  <c r="H43" i="7" a="1"/>
  <c r="H43" i="7" s="1"/>
  <c r="Q42" i="7" a="1"/>
  <c r="Q42" i="7" s="1"/>
  <c r="M41" i="7" a="1"/>
  <c r="M41" i="7" s="1"/>
  <c r="E63" i="7" a="1"/>
  <c r="E63" i="7" s="1"/>
  <c r="E61" i="7" a="1"/>
  <c r="E61" i="7" s="1"/>
  <c r="I58" i="7" a="1"/>
  <c r="I58" i="7" s="1"/>
  <c r="O56" i="7" a="1"/>
  <c r="O56" i="7" s="1"/>
  <c r="O55" i="7" a="1"/>
  <c r="O55" i="7" s="1"/>
  <c r="Q54" i="7" a="1"/>
  <c r="Q54" i="7" s="1"/>
  <c r="T53" i="7" a="1"/>
  <c r="T53" i="7" s="1"/>
  <c r="K53" i="7" a="1"/>
  <c r="K53" i="7" s="1"/>
  <c r="Y52" i="7" a="1"/>
  <c r="Y52" i="7" s="1"/>
  <c r="P52" i="7" a="1"/>
  <c r="P52" i="7" s="1"/>
  <c r="H52" i="7" a="1"/>
  <c r="H52" i="7" s="1"/>
  <c r="T51" i="7" a="1"/>
  <c r="T51" i="7" s="1"/>
  <c r="L51" i="7" a="1"/>
  <c r="L51" i="7" s="1"/>
  <c r="Q50" i="7" a="1"/>
  <c r="Q50" i="7" s="1"/>
  <c r="I50" i="7" a="1"/>
  <c r="I50" i="7" s="1"/>
  <c r="U49" i="7" a="1"/>
  <c r="U49" i="7" s="1"/>
  <c r="M49" i="7" a="1"/>
  <c r="M49" i="7" s="1"/>
  <c r="R48" i="7" a="1"/>
  <c r="R48" i="7" s="1"/>
  <c r="J48" i="7" a="1"/>
  <c r="J48" i="7" s="1"/>
  <c r="O47" i="7" a="1"/>
  <c r="O47" i="7" s="1"/>
  <c r="P45" i="7" a="1"/>
  <c r="P45" i="7" s="1"/>
  <c r="Y44" i="7" a="1"/>
  <c r="Y44" i="7" s="1"/>
  <c r="L44" i="7" a="1"/>
  <c r="L44" i="7" s="1"/>
  <c r="U43" i="7" a="1"/>
  <c r="U43" i="7" s="1"/>
  <c r="N43" i="7" a="1"/>
  <c r="N43" i="7" s="1"/>
  <c r="W42" i="7" a="1"/>
  <c r="W42" i="7" s="1"/>
  <c r="J42" i="7" a="1"/>
  <c r="J42" i="7" s="1"/>
  <c r="S41" i="7" a="1"/>
  <c r="S41" i="7" s="1"/>
  <c r="E41" i="7" a="1"/>
  <c r="E41" i="7" s="1"/>
  <c r="O40" i="7" a="1"/>
  <c r="O40" i="7" s="1"/>
  <c r="H40" i="7" a="1"/>
  <c r="H40" i="7" s="1"/>
  <c r="Q39" i="7" a="1"/>
  <c r="Q39" i="7" s="1"/>
  <c r="M38" i="7" a="1"/>
  <c r="M38" i="7" s="1"/>
  <c r="V37" i="7" a="1"/>
  <c r="V37" i="7" s="1"/>
  <c r="I37" i="7" a="1"/>
  <c r="I37" i="7" s="1"/>
  <c r="X36" i="7" a="1"/>
  <c r="X36" i="7" s="1"/>
  <c r="K36" i="7" a="1"/>
  <c r="K36" i="7" s="1"/>
  <c r="T35" i="7" a="1"/>
  <c r="T35" i="7" s="1"/>
  <c r="F35" i="7"/>
  <c r="P34" i="7" a="1"/>
  <c r="P34" i="7" s="1"/>
  <c r="Y33" i="7" a="1"/>
  <c r="Y33" i="7" s="1"/>
  <c r="R33" i="7" a="1"/>
  <c r="R33" i="7" s="1"/>
  <c r="L64" i="7" a="1"/>
  <c r="L64" i="7" s="1"/>
  <c r="K62" i="7" a="1"/>
  <c r="K62" i="7" s="1"/>
  <c r="U61" i="7" a="1"/>
  <c r="U61" i="7" s="1"/>
  <c r="Q57" i="7" a="1"/>
  <c r="Q57" i="7" s="1"/>
  <c r="M55" i="7" a="1"/>
  <c r="M55" i="7" s="1"/>
  <c r="Y54" i="7" a="1"/>
  <c r="Y54" i="7" s="1"/>
  <c r="S53" i="7" a="1"/>
  <c r="S53" i="7" s="1"/>
  <c r="Y50" i="7" a="1"/>
  <c r="Y50" i="7" s="1"/>
  <c r="F50" i="7"/>
  <c r="V47" i="7" a="1"/>
  <c r="V47" i="7" s="1"/>
  <c r="F47" i="7"/>
  <c r="V46" i="7" a="1"/>
  <c r="V46" i="7" s="1"/>
  <c r="O46" i="7" a="1"/>
  <c r="O46" i="7" s="1"/>
  <c r="F46" i="7"/>
  <c r="V45" i="7" a="1"/>
  <c r="V45" i="7" s="1"/>
  <c r="I45" i="7" a="1"/>
  <c r="I45" i="7" s="1"/>
  <c r="R44" i="7" a="1"/>
  <c r="R44" i="7" s="1"/>
  <c r="T43" i="7" a="1"/>
  <c r="T43" i="7" s="1"/>
  <c r="F43" i="7"/>
  <c r="P42" i="7" a="1"/>
  <c r="P42" i="7" s="1"/>
  <c r="Y41" i="7" a="1"/>
  <c r="Y41" i="7" s="1"/>
  <c r="L41" i="7" a="1"/>
  <c r="L41" i="7" s="1"/>
  <c r="U40" i="7" a="1"/>
  <c r="U40" i="7" s="1"/>
  <c r="N40" i="7" a="1"/>
  <c r="N40" i="7" s="1"/>
  <c r="W39" i="7" a="1"/>
  <c r="W39" i="7" s="1"/>
  <c r="J39" i="7" a="1"/>
  <c r="J39" i="7" s="1"/>
  <c r="S38" i="7" a="1"/>
  <c r="S38" i="7" s="1"/>
  <c r="E38" i="7" a="1"/>
  <c r="E38" i="7" s="1"/>
  <c r="J64" i="7" a="1"/>
  <c r="J64" i="7" s="1"/>
  <c r="R61" i="7" a="1"/>
  <c r="R61" i="7" s="1"/>
  <c r="J60" i="7" a="1"/>
  <c r="J60" i="7" s="1"/>
  <c r="H58" i="7" a="1"/>
  <c r="H58" i="7" s="1"/>
  <c r="P57" i="7" a="1"/>
  <c r="P57" i="7" s="1"/>
  <c r="N56" i="7" a="1"/>
  <c r="N56" i="7" s="1"/>
  <c r="Y55" i="7" a="1"/>
  <c r="Y55" i="7" s="1"/>
  <c r="P54" i="7" a="1"/>
  <c r="P54" i="7" s="1"/>
  <c r="R53" i="7" a="1"/>
  <c r="R53" i="7" s="1"/>
  <c r="J53" i="7" a="1"/>
  <c r="J53" i="7" s="1"/>
  <c r="X52" i="7" a="1"/>
  <c r="X52" i="7" s="1"/>
  <c r="O52" i="7" a="1"/>
  <c r="O52" i="7" s="1"/>
  <c r="E52" i="7" a="1"/>
  <c r="E52" i="7" s="1"/>
  <c r="S51" i="7" a="1"/>
  <c r="S51" i="7" s="1"/>
  <c r="K51" i="7" a="1"/>
  <c r="K51" i="7" s="1"/>
  <c r="X50" i="7" a="1"/>
  <c r="X50" i="7" s="1"/>
  <c r="P50" i="7" a="1"/>
  <c r="P50" i="7" s="1"/>
  <c r="E50" i="7" a="1"/>
  <c r="E50" i="7" s="1"/>
  <c r="T49" i="7" a="1"/>
  <c r="T49" i="7" s="1"/>
  <c r="L49" i="7" a="1"/>
  <c r="L49" i="7" s="1"/>
  <c r="Y48" i="7" a="1"/>
  <c r="Y48" i="7" s="1"/>
  <c r="Q48" i="7" a="1"/>
  <c r="Q48" i="7" s="1"/>
  <c r="F48" i="7"/>
  <c r="N47" i="7" a="1"/>
  <c r="N47" i="7" s="1"/>
  <c r="E47" i="7" a="1"/>
  <c r="E47" i="7" s="1"/>
  <c r="O45" i="7" a="1"/>
  <c r="O45" i="7" s="1"/>
  <c r="X44" i="7" a="1"/>
  <c r="X44" i="7" s="1"/>
  <c r="K44" i="7" a="1"/>
  <c r="K44" i="7" s="1"/>
  <c r="M43" i="7" a="1"/>
  <c r="M43" i="7" s="1"/>
  <c r="V42" i="7" a="1"/>
  <c r="V42" i="7" s="1"/>
  <c r="I42" i="7" a="1"/>
  <c r="I42" i="7" s="1"/>
  <c r="R41" i="7" a="1"/>
  <c r="R41" i="7" s="1"/>
  <c r="U64" i="7" a="1"/>
  <c r="U64" i="7" s="1"/>
  <c r="N61" i="7" a="1"/>
  <c r="N61" i="7" s="1"/>
  <c r="S60" i="7" a="1"/>
  <c r="S60" i="7" s="1"/>
  <c r="R58" i="7" a="1"/>
  <c r="R58" i="7" s="1"/>
  <c r="I55" i="7" a="1"/>
  <c r="I55" i="7" s="1"/>
  <c r="X53" i="7" a="1"/>
  <c r="X53" i="7" s="1"/>
  <c r="P53" i="7" a="1"/>
  <c r="P53" i="7" s="1"/>
  <c r="H53" i="7" a="1"/>
  <c r="H53" i="7" s="1"/>
  <c r="T52" i="7" a="1"/>
  <c r="T52" i="7" s="1"/>
  <c r="L52" i="7" a="1"/>
  <c r="L52" i="7" s="1"/>
  <c r="Y51" i="7" a="1"/>
  <c r="Y51" i="7" s="1"/>
  <c r="Q51" i="7" a="1"/>
  <c r="Q51" i="7" s="1"/>
  <c r="H51" i="7" a="1"/>
  <c r="H51" i="7" s="1"/>
  <c r="U50" i="7" a="1"/>
  <c r="U50" i="7" s="1"/>
  <c r="L50" i="7" a="1"/>
  <c r="L50" i="7" s="1"/>
  <c r="R49" i="7" a="1"/>
  <c r="R49" i="7" s="1"/>
  <c r="I49" i="7" a="1"/>
  <c r="I49" i="7" s="1"/>
  <c r="V48" i="7" a="1"/>
  <c r="V48" i="7" s="1"/>
  <c r="M48" i="7" a="1"/>
  <c r="M48" i="7" s="1"/>
  <c r="M45" i="7" a="1"/>
  <c r="M45" i="7" s="1"/>
  <c r="E45" i="7" a="1"/>
  <c r="E45" i="7" s="1"/>
  <c r="O44" i="7" a="1"/>
  <c r="O44" i="7" s="1"/>
  <c r="X43" i="7" a="1"/>
  <c r="X43" i="7" s="1"/>
  <c r="K43" i="7" a="1"/>
  <c r="K43" i="7" s="1"/>
  <c r="T42" i="7" a="1"/>
  <c r="T42" i="7" s="1"/>
  <c r="F42" i="7"/>
  <c r="M63" i="7" a="1"/>
  <c r="M63" i="7" s="1"/>
  <c r="T62" i="7" a="1"/>
  <c r="T62" i="7" s="1"/>
  <c r="K59" i="7" a="1"/>
  <c r="K59" i="7" s="1"/>
  <c r="P58" i="7" a="1"/>
  <c r="P58" i="7" s="1"/>
  <c r="L57" i="7" a="1"/>
  <c r="L57" i="7" s="1"/>
  <c r="U56" i="7" a="1"/>
  <c r="U56" i="7" s="1"/>
  <c r="J56" i="7" a="1"/>
  <c r="J56" i="7" s="1"/>
  <c r="S55" i="7" a="1"/>
  <c r="S55" i="7" s="1"/>
  <c r="K54" i="7" a="1"/>
  <c r="K54" i="7" s="1"/>
  <c r="K52" i="7" a="1"/>
  <c r="K52" i="7" s="1"/>
  <c r="Q49" i="7" a="1"/>
  <c r="Q49" i="7" s="1"/>
  <c r="U48" i="7" a="1"/>
  <c r="U48" i="7" s="1"/>
  <c r="S47" i="7" a="1"/>
  <c r="S47" i="7" s="1"/>
  <c r="J47" i="7" a="1"/>
  <c r="J47" i="7" s="1"/>
  <c r="Y46" i="7" a="1"/>
  <c r="Y46" i="7" s="1"/>
  <c r="R46" i="7" a="1"/>
  <c r="R46" i="7" s="1"/>
  <c r="K46" i="7" a="1"/>
  <c r="K46" i="7" s="1"/>
  <c r="S45" i="7" a="1"/>
  <c r="S45" i="7" s="1"/>
  <c r="L45" i="7" a="1"/>
  <c r="L45" i="7" s="1"/>
  <c r="U44" i="7" a="1"/>
  <c r="U44" i="7" s="1"/>
  <c r="H44" i="7" a="1"/>
  <c r="H44" i="7" s="1"/>
  <c r="Q43" i="7" a="1"/>
  <c r="Q43" i="7" s="1"/>
  <c r="M42" i="7" a="1"/>
  <c r="M42" i="7" s="1"/>
  <c r="E42" i="7" a="1"/>
  <c r="E42" i="7" s="1"/>
  <c r="O41" i="7" a="1"/>
  <c r="O41" i="7" s="1"/>
  <c r="X40" i="7" a="1"/>
  <c r="X40" i="7" s="1"/>
  <c r="K40" i="7" a="1"/>
  <c r="K40" i="7" s="1"/>
  <c r="T39" i="7" a="1"/>
  <c r="T39" i="7" s="1"/>
  <c r="F39" i="7"/>
  <c r="V38" i="7" a="1"/>
  <c r="V38" i="7" s="1"/>
  <c r="I38" i="7" a="1"/>
  <c r="I38" i="7" s="1"/>
  <c r="R37" i="7" a="1"/>
  <c r="R37" i="7" s="1"/>
  <c r="Y64" i="7" a="1"/>
  <c r="Y64" i="7" s="1"/>
  <c r="H60" i="7" a="1"/>
  <c r="H60" i="7" s="1"/>
  <c r="L54" i="7" a="1"/>
  <c r="L54" i="7" s="1"/>
  <c r="V52" i="7" a="1"/>
  <c r="V52" i="7" s="1"/>
  <c r="R51" i="7" a="1"/>
  <c r="R51" i="7" s="1"/>
  <c r="N49" i="7" a="1"/>
  <c r="N49" i="7" s="1"/>
  <c r="M47" i="7" a="1"/>
  <c r="M47" i="7" s="1"/>
  <c r="Q44" i="7" a="1"/>
  <c r="Q44" i="7" s="1"/>
  <c r="V43" i="7" a="1"/>
  <c r="V43" i="7" s="1"/>
  <c r="V40" i="7" a="1"/>
  <c r="V40" i="7" s="1"/>
  <c r="V39" i="7" a="1"/>
  <c r="V39" i="7" s="1"/>
  <c r="K39" i="7" a="1"/>
  <c r="K39" i="7" s="1"/>
  <c r="Y36" i="7" a="1"/>
  <c r="Y36" i="7" s="1"/>
  <c r="P36" i="7" a="1"/>
  <c r="P36" i="7" s="1"/>
  <c r="H36" i="7" a="1"/>
  <c r="H36" i="7" s="1"/>
  <c r="L35" i="7" a="1"/>
  <c r="L35" i="7" s="1"/>
  <c r="L33" i="7" a="1"/>
  <c r="L33" i="7" s="1"/>
  <c r="T31" i="7" a="1"/>
  <c r="T31" i="7" s="1"/>
  <c r="V30" i="7" a="1"/>
  <c r="V30" i="7" s="1"/>
  <c r="I30" i="7" a="1"/>
  <c r="I30" i="7" s="1"/>
  <c r="J62" i="7" a="1"/>
  <c r="J62" i="7" s="1"/>
  <c r="N50" i="7" a="1"/>
  <c r="N50" i="7" s="1"/>
  <c r="K49" i="7" a="1"/>
  <c r="K49" i="7" s="1"/>
  <c r="K48" i="7" a="1"/>
  <c r="K48" i="7" s="1"/>
  <c r="L47" i="7" a="1"/>
  <c r="L47" i="7" s="1"/>
  <c r="L46" i="7" a="1"/>
  <c r="L46" i="7" s="1"/>
  <c r="N45" i="7" a="1"/>
  <c r="N45" i="7" s="1"/>
  <c r="P44" i="7" a="1"/>
  <c r="P44" i="7" s="1"/>
  <c r="S43" i="7" a="1"/>
  <c r="S43" i="7" s="1"/>
  <c r="X42" i="7" a="1"/>
  <c r="X42" i="7" s="1"/>
  <c r="K41" i="7" a="1"/>
  <c r="K41" i="7" s="1"/>
  <c r="T40" i="7" a="1"/>
  <c r="T40" i="7" s="1"/>
  <c r="W38" i="7" a="1"/>
  <c r="W38" i="7" s="1"/>
  <c r="K38" i="7" a="1"/>
  <c r="K38" i="7" s="1"/>
  <c r="U37" i="7" a="1"/>
  <c r="U37" i="7" s="1"/>
  <c r="L37" i="7" a="1"/>
  <c r="L37" i="7" s="1"/>
  <c r="Y34" i="7" a="1"/>
  <c r="Y34" i="7" s="1"/>
  <c r="F34" i="7"/>
  <c r="U33" i="7" a="1"/>
  <c r="U33" i="7" s="1"/>
  <c r="K33" i="7" a="1"/>
  <c r="K33" i="7" s="1"/>
  <c r="Y32" i="7" a="1"/>
  <c r="Y32" i="7" s="1"/>
  <c r="R32" i="7" a="1"/>
  <c r="R32" i="7" s="1"/>
  <c r="K32" i="7" a="1"/>
  <c r="K32" i="7" s="1"/>
  <c r="E31" i="7" a="1"/>
  <c r="E31" i="7" s="1"/>
  <c r="O30" i="7" a="1"/>
  <c r="O30" i="7" s="1"/>
  <c r="X29" i="7" a="1"/>
  <c r="X29" i="7" s="1"/>
  <c r="R29" i="7" a="1"/>
  <c r="R29" i="7" s="1"/>
  <c r="L29" i="7" a="1"/>
  <c r="L29" i="7" s="1"/>
  <c r="E29" i="7" a="1"/>
  <c r="E29" i="7" s="1"/>
  <c r="V28" i="7" a="1"/>
  <c r="V28" i="7" s="1"/>
  <c r="P28" i="7" a="1"/>
  <c r="P28" i="7" s="1"/>
  <c r="J28" i="7" a="1"/>
  <c r="J28" i="7" s="1"/>
  <c r="T27" i="7" a="1"/>
  <c r="T27" i="7" s="1"/>
  <c r="N27" i="7" a="1"/>
  <c r="N27" i="7" s="1"/>
  <c r="H27" i="7" a="1"/>
  <c r="H27" i="7" s="1"/>
  <c r="X26" i="7" a="1"/>
  <c r="X26" i="7" s="1"/>
  <c r="R26" i="7" a="1"/>
  <c r="R26" i="7" s="1"/>
  <c r="L26" i="7" a="1"/>
  <c r="L26" i="7" s="1"/>
  <c r="E26" i="7" a="1"/>
  <c r="E26" i="7" s="1"/>
  <c r="V25" i="7" a="1"/>
  <c r="V25" i="7" s="1"/>
  <c r="P25" i="7" a="1"/>
  <c r="P25" i="7" s="1"/>
  <c r="J25" i="7" a="1"/>
  <c r="J25" i="7" s="1"/>
  <c r="T24" i="7" a="1"/>
  <c r="T24" i="7" s="1"/>
  <c r="N24" i="7" a="1"/>
  <c r="N24" i="7" s="1"/>
  <c r="F60" i="7"/>
  <c r="N57" i="7" a="1"/>
  <c r="N57" i="7" s="1"/>
  <c r="T55" i="7" a="1"/>
  <c r="T55" i="7" s="1"/>
  <c r="R52" i="7" a="1"/>
  <c r="R52" i="7" s="1"/>
  <c r="M51" i="7" a="1"/>
  <c r="M51" i="7" s="1"/>
  <c r="M50" i="7" a="1"/>
  <c r="M50" i="7" s="1"/>
  <c r="J49" i="7" a="1"/>
  <c r="J49" i="7" s="1"/>
  <c r="J41" i="7" a="1"/>
  <c r="J41" i="7" s="1"/>
  <c r="I40" i="7" a="1"/>
  <c r="I40" i="7" s="1"/>
  <c r="U39" i="7" a="1"/>
  <c r="U39" i="7" s="1"/>
  <c r="I39" i="7" a="1"/>
  <c r="I39" i="7" s="1"/>
  <c r="J38" i="7" a="1"/>
  <c r="J38" i="7" s="1"/>
  <c r="T37" i="7" a="1"/>
  <c r="T37" i="7" s="1"/>
  <c r="J37" i="7" a="1"/>
  <c r="J37" i="7" s="1"/>
  <c r="W36" i="7" a="1"/>
  <c r="W36" i="7" s="1"/>
  <c r="O36" i="7" a="1"/>
  <c r="O36" i="7" s="1"/>
  <c r="S35" i="7" a="1"/>
  <c r="S35" i="7" s="1"/>
  <c r="K35" i="7" a="1"/>
  <c r="K35" i="7" s="1"/>
  <c r="O34" i="7" a="1"/>
  <c r="O34" i="7" s="1"/>
  <c r="J32" i="7" a="1"/>
  <c r="J32" i="7" s="1"/>
  <c r="L31" i="7" a="1"/>
  <c r="L31" i="7" s="1"/>
  <c r="U30" i="7" a="1"/>
  <c r="U30" i="7" s="1"/>
  <c r="H30" i="7" a="1"/>
  <c r="H30" i="7" s="1"/>
  <c r="L55" i="7" a="1"/>
  <c r="L55" i="7" s="1"/>
  <c r="Y53" i="7" a="1"/>
  <c r="Y53" i="7" s="1"/>
  <c r="J50" i="7" a="1"/>
  <c r="J50" i="7" s="1"/>
  <c r="E48" i="7" a="1"/>
  <c r="E48" i="7" s="1"/>
  <c r="E46" i="7" a="1"/>
  <c r="E46" i="7" s="1"/>
  <c r="M44" i="7" a="1"/>
  <c r="M44" i="7" s="1"/>
  <c r="R43" i="7" a="1"/>
  <c r="R43" i="7" s="1"/>
  <c r="U42" i="7" a="1"/>
  <c r="U42" i="7" s="1"/>
  <c r="X41" i="7" a="1"/>
  <c r="X41" i="7" s="1"/>
  <c r="S40" i="7" a="1"/>
  <c r="S40" i="7" s="1"/>
  <c r="F40" i="7"/>
  <c r="T38" i="7" a="1"/>
  <c r="T38" i="7" s="1"/>
  <c r="J35" i="7" a="1"/>
  <c r="J35" i="7" s="1"/>
  <c r="W34" i="7" a="1"/>
  <c r="W34" i="7" s="1"/>
  <c r="N34" i="7" a="1"/>
  <c r="N34" i="7" s="1"/>
  <c r="E34" i="7" a="1"/>
  <c r="E34" i="7" s="1"/>
  <c r="S33" i="7" a="1"/>
  <c r="S33" i="7" s="1"/>
  <c r="J33" i="7" a="1"/>
  <c r="J33" i="7" s="1"/>
  <c r="X32" i="7" a="1"/>
  <c r="X32" i="7" s="1"/>
  <c r="Q32" i="7" a="1"/>
  <c r="Q32" i="7" s="1"/>
  <c r="R31" i="7" a="1"/>
  <c r="R31" i="7" s="1"/>
  <c r="N30" i="7" a="1"/>
  <c r="N30" i="7" s="1"/>
  <c r="W29" i="7" a="1"/>
  <c r="W29" i="7" s="1"/>
  <c r="Q29" i="7" a="1"/>
  <c r="Q29" i="7" s="1"/>
  <c r="K29" i="7" a="1"/>
  <c r="K29" i="7" s="1"/>
  <c r="U28" i="7" a="1"/>
  <c r="U28" i="7" s="1"/>
  <c r="I64" i="7" a="1"/>
  <c r="I64" i="7" s="1"/>
  <c r="M57" i="7" a="1"/>
  <c r="M57" i="7" s="1"/>
  <c r="J55" i="7" a="1"/>
  <c r="J55" i="7" s="1"/>
  <c r="M52" i="7" a="1"/>
  <c r="M52" i="7" s="1"/>
  <c r="J51" i="7" a="1"/>
  <c r="J51" i="7" s="1"/>
  <c r="E49" i="7" a="1"/>
  <c r="E49" i="7" s="1"/>
  <c r="H45" i="7" a="1"/>
  <c r="H45" i="7" s="1"/>
  <c r="J44" i="7" a="1"/>
  <c r="J44" i="7" s="1"/>
  <c r="I41" i="7" a="1"/>
  <c r="I41" i="7" s="1"/>
  <c r="R39" i="7" a="1"/>
  <c r="R39" i="7" s="1"/>
  <c r="H39" i="7" a="1"/>
  <c r="H39" i="7" s="1"/>
  <c r="S37" i="7" a="1"/>
  <c r="S37" i="7" s="1"/>
  <c r="H37" i="7" a="1"/>
  <c r="H37" i="7" s="1"/>
  <c r="V36" i="7" a="1"/>
  <c r="V36" i="7" s="1"/>
  <c r="N36" i="7" a="1"/>
  <c r="N36" i="7" s="1"/>
  <c r="R35" i="7" a="1"/>
  <c r="R35" i="7" s="1"/>
  <c r="V34" i="7" a="1"/>
  <c r="V34" i="7" s="1"/>
  <c r="P32" i="7" a="1"/>
  <c r="P32" i="7" s="1"/>
  <c r="X31" i="7" a="1"/>
  <c r="X31" i="7" s="1"/>
  <c r="K31" i="7" a="1"/>
  <c r="K31" i="7" s="1"/>
  <c r="T30" i="7" a="1"/>
  <c r="T30" i="7" s="1"/>
  <c r="F30" i="7"/>
  <c r="E64" i="7" a="1"/>
  <c r="E64" i="7" s="1"/>
  <c r="N59" i="7" a="1"/>
  <c r="N59" i="7" s="1"/>
  <c r="Q53" i="7" a="1"/>
  <c r="Q53" i="7" s="1"/>
  <c r="I51" i="7" a="1"/>
  <c r="I51" i="7" s="1"/>
  <c r="W41" i="7" a="1"/>
  <c r="W41" i="7" s="1"/>
  <c r="F41" i="7"/>
  <c r="R40" i="7" a="1"/>
  <c r="R40" i="7" s="1"/>
  <c r="E40" i="7" a="1"/>
  <c r="E40" i="7" s="1"/>
  <c r="R38" i="7" a="1"/>
  <c r="R38" i="7" s="1"/>
  <c r="F38" i="7"/>
  <c r="L36" i="7" a="1"/>
  <c r="L36" i="7" s="1"/>
  <c r="H35" i="7" a="1"/>
  <c r="H35" i="7" s="1"/>
  <c r="M34" i="7" a="1"/>
  <c r="M34" i="7" s="1"/>
  <c r="O61" i="7" a="1"/>
  <c r="O61" i="7" s="1"/>
  <c r="L59" i="7" a="1"/>
  <c r="L59" i="7" s="1"/>
  <c r="I52" i="7" a="1"/>
  <c r="I52" i="7" s="1"/>
  <c r="Y47" i="7" a="1"/>
  <c r="Y47" i="7" s="1"/>
  <c r="F45" i="7"/>
  <c r="I44" i="7" a="1"/>
  <c r="I44" i="7" s="1"/>
  <c r="L43" i="7" a="1"/>
  <c r="L43" i="7" s="1"/>
  <c r="O42" i="7" a="1"/>
  <c r="O42" i="7" s="1"/>
  <c r="V41" i="7" a="1"/>
  <c r="V41" i="7" s="1"/>
  <c r="P40" i="7" a="1"/>
  <c r="P40" i="7" s="1"/>
  <c r="P39" i="7" a="1"/>
  <c r="P39" i="7" s="1"/>
  <c r="F37" i="7"/>
  <c r="U36" i="7" a="1"/>
  <c r="U36" i="7" s="1"/>
  <c r="Y35" i="7" a="1"/>
  <c r="Y35" i="7" s="1"/>
  <c r="Q35" i="7" a="1"/>
  <c r="Q35" i="7" s="1"/>
  <c r="U34" i="7" a="1"/>
  <c r="U34" i="7" s="1"/>
  <c r="W31" i="7" a="1"/>
  <c r="W31" i="7" s="1"/>
  <c r="J31" i="7" a="1"/>
  <c r="J31" i="7" s="1"/>
  <c r="S30" i="7" a="1"/>
  <c r="S30" i="7" s="1"/>
  <c r="E30" i="7" a="1"/>
  <c r="E30" i="7" s="1"/>
  <c r="N63" i="7" a="1"/>
  <c r="N63" i="7" s="1"/>
  <c r="Y60" i="7" a="1"/>
  <c r="Y60" i="7" s="1"/>
  <c r="W54" i="7" a="1"/>
  <c r="W54" i="7" s="1"/>
  <c r="W50" i="7" a="1"/>
  <c r="W50" i="7" s="1"/>
  <c r="S48" i="7" a="1"/>
  <c r="S48" i="7" s="1"/>
  <c r="T47" i="7" a="1"/>
  <c r="T47" i="7" s="1"/>
  <c r="S46" i="7" a="1"/>
  <c r="S46" i="7" s="1"/>
  <c r="W44" i="7" a="1"/>
  <c r="W44" i="7" s="1"/>
  <c r="E43" i="7" a="1"/>
  <c r="E43" i="7" s="1"/>
  <c r="K42" i="7" a="1"/>
  <c r="K42" i="7" s="1"/>
  <c r="Q41" i="7" a="1"/>
  <c r="Q41" i="7" s="1"/>
  <c r="Y40" i="7" a="1"/>
  <c r="Y40" i="7" s="1"/>
  <c r="M40" i="7" a="1"/>
  <c r="M40" i="7" s="1"/>
  <c r="Y39" i="7" a="1"/>
  <c r="Y39" i="7" s="1"/>
  <c r="Y38" i="7" a="1"/>
  <c r="Y38" i="7" s="1"/>
  <c r="N38" i="7" a="1"/>
  <c r="N38" i="7" s="1"/>
  <c r="N37" i="7" a="1"/>
  <c r="N37" i="7" s="1"/>
  <c r="R36" i="7" a="1"/>
  <c r="R36" i="7" s="1"/>
  <c r="K56" i="7" a="1"/>
  <c r="K56" i="7" s="1"/>
  <c r="H42" i="7" a="1"/>
  <c r="H42" i="7" s="1"/>
  <c r="I36" i="7" a="1"/>
  <c r="I36" i="7" s="1"/>
  <c r="P31" i="7" a="1"/>
  <c r="P31" i="7" s="1"/>
  <c r="Y30" i="7" a="1"/>
  <c r="Y30" i="7" s="1"/>
  <c r="L30" i="7" a="1"/>
  <c r="L30" i="7" s="1"/>
  <c r="U29" i="7" a="1"/>
  <c r="U29" i="7" s="1"/>
  <c r="I29" i="7" a="1"/>
  <c r="I29" i="7" s="1"/>
  <c r="S28" i="7" a="1"/>
  <c r="S28" i="7" s="1"/>
  <c r="I28" i="7" a="1"/>
  <c r="I28" i="7" s="1"/>
  <c r="V27" i="7" a="1"/>
  <c r="V27" i="7" s="1"/>
  <c r="K27" i="7" a="1"/>
  <c r="K27" i="7" s="1"/>
  <c r="W26" i="7" a="1"/>
  <c r="W26" i="7" s="1"/>
  <c r="N25" i="7" a="1"/>
  <c r="N25" i="7" s="1"/>
  <c r="Q24" i="7" a="1"/>
  <c r="Q24" i="7" s="1"/>
  <c r="I24" i="7" a="1"/>
  <c r="I24" i="7" s="1"/>
  <c r="W23" i="7" a="1"/>
  <c r="W23" i="7" s="1"/>
  <c r="F23" i="7"/>
  <c r="U22" i="7" a="1"/>
  <c r="U22" i="7" s="1"/>
  <c r="S21" i="7" a="1"/>
  <c r="S21" i="7" s="1"/>
  <c r="Y20" i="7" a="1"/>
  <c r="Y20" i="7" s="1"/>
  <c r="Q20" i="7" a="1"/>
  <c r="Q20" i="7" s="1"/>
  <c r="W19" i="7" a="1"/>
  <c r="W19" i="7" s="1"/>
  <c r="P19" i="7" a="1"/>
  <c r="P19" i="7" s="1"/>
  <c r="Y18" i="7" a="1"/>
  <c r="Y18" i="7" s="1"/>
  <c r="L18" i="7" a="1"/>
  <c r="L18" i="7" s="1"/>
  <c r="U17" i="7" a="1"/>
  <c r="U17" i="7" s="1"/>
  <c r="H17" i="7" a="1"/>
  <c r="H17" i="7" s="1"/>
  <c r="Q16" i="7" a="1"/>
  <c r="Q16" i="7" s="1"/>
  <c r="J16" i="7" a="1"/>
  <c r="J16" i="7" s="1"/>
  <c r="V60" i="7" a="1"/>
  <c r="V60" i="7" s="1"/>
  <c r="X48" i="7" a="1"/>
  <c r="X48" i="7" s="1"/>
  <c r="L40" i="7" a="1"/>
  <c r="L40" i="7" s="1"/>
  <c r="X38" i="7" a="1"/>
  <c r="X38" i="7" s="1"/>
  <c r="M37" i="7" a="1"/>
  <c r="M37" i="7" s="1"/>
  <c r="J34" i="7" a="1"/>
  <c r="J34" i="7" s="1"/>
  <c r="O33" i="7" a="1"/>
  <c r="O33" i="7" s="1"/>
  <c r="T32" i="7" a="1"/>
  <c r="T32" i="7" s="1"/>
  <c r="E32" i="7" a="1"/>
  <c r="E32" i="7" s="1"/>
  <c r="H28" i="7" a="1"/>
  <c r="H28" i="7" s="1"/>
  <c r="V26" i="7" a="1"/>
  <c r="V26" i="7" s="1"/>
  <c r="M26" i="7" a="1"/>
  <c r="M26" i="7" s="1"/>
  <c r="X25" i="7" a="1"/>
  <c r="X25" i="7" s="1"/>
  <c r="M25" i="7" a="1"/>
  <c r="M25" i="7" s="1"/>
  <c r="H24" i="7" a="1"/>
  <c r="H24" i="7" s="1"/>
  <c r="V23" i="7" a="1"/>
  <c r="V23" i="7" s="1"/>
  <c r="N23" i="7" a="1"/>
  <c r="N23" i="7" s="1"/>
  <c r="E23" i="7" a="1"/>
  <c r="E23" i="7" s="1"/>
  <c r="T22" i="7" a="1"/>
  <c r="T22" i="7" s="1"/>
  <c r="L22" i="7" a="1"/>
  <c r="L22" i="7" s="1"/>
  <c r="R21" i="7" a="1"/>
  <c r="R21" i="7" s="1"/>
  <c r="J21" i="7" a="1"/>
  <c r="J21" i="7" s="1"/>
  <c r="X20" i="7" a="1"/>
  <c r="X20" i="7" s="1"/>
  <c r="P20" i="7" a="1"/>
  <c r="P20" i="7" s="1"/>
  <c r="H20" i="7" a="1"/>
  <c r="H20" i="7" s="1"/>
  <c r="V19" i="7" a="1"/>
  <c r="V19" i="7" s="1"/>
  <c r="I19" i="7" a="1"/>
  <c r="I19" i="7" s="1"/>
  <c r="R18" i="7" a="1"/>
  <c r="R18" i="7" s="1"/>
  <c r="N17" i="7" a="1"/>
  <c r="N17" i="7" s="1"/>
  <c r="W16" i="7" a="1"/>
  <c r="W16" i="7" s="1"/>
  <c r="P16" i="7" a="1"/>
  <c r="P16" i="7" s="1"/>
  <c r="W51" i="7" a="1"/>
  <c r="W51" i="7" s="1"/>
  <c r="M46" i="7" a="1"/>
  <c r="M46" i="7" s="1"/>
  <c r="Y43" i="7" a="1"/>
  <c r="Y43" i="7" s="1"/>
  <c r="T41" i="7" a="1"/>
  <c r="T41" i="7" s="1"/>
  <c r="Q38" i="7" a="1"/>
  <c r="Q38" i="7" s="1"/>
  <c r="E35" i="7" a="1"/>
  <c r="E35" i="7" s="1"/>
  <c r="I34" i="7" a="1"/>
  <c r="I34" i="7" s="1"/>
  <c r="O31" i="7" a="1"/>
  <c r="O31" i="7" s="1"/>
  <c r="X30" i="7" a="1"/>
  <c r="X30" i="7" s="1"/>
  <c r="T29" i="7" a="1"/>
  <c r="T29" i="7" s="1"/>
  <c r="H29" i="7" a="1"/>
  <c r="H29" i="7" s="1"/>
  <c r="R28" i="7" a="1"/>
  <c r="R28" i="7" s="1"/>
  <c r="F28" i="7"/>
  <c r="U27" i="7" a="1"/>
  <c r="U27" i="7" s="1"/>
  <c r="J27" i="7" a="1"/>
  <c r="J27" i="7" s="1"/>
  <c r="U26" i="7" a="1"/>
  <c r="U26" i="7" s="1"/>
  <c r="K26" i="7" a="1"/>
  <c r="K26" i="7" s="1"/>
  <c r="Y24" i="7" a="1"/>
  <c r="Y24" i="7" s="1"/>
  <c r="P24" i="7" a="1"/>
  <c r="P24" i="7" s="1"/>
  <c r="U23" i="7" a="1"/>
  <c r="U23" i="7" s="1"/>
  <c r="S22" i="7" a="1"/>
  <c r="S22" i="7" s="1"/>
  <c r="Q21" i="7" a="1"/>
  <c r="Q21" i="7" s="1"/>
  <c r="O20" i="7" a="1"/>
  <c r="O20" i="7" s="1"/>
  <c r="O19" i="7" a="1"/>
  <c r="O19" i="7" s="1"/>
  <c r="X18" i="7" a="1"/>
  <c r="X18" i="7" s="1"/>
  <c r="K18" i="7" a="1"/>
  <c r="K18" i="7" s="1"/>
  <c r="T17" i="7" a="1"/>
  <c r="T17" i="7" s="1"/>
  <c r="F17" i="7"/>
  <c r="V16" i="7" a="1"/>
  <c r="V16" i="7" s="1"/>
  <c r="I16" i="7" a="1"/>
  <c r="I16" i="7" s="1"/>
  <c r="X54" i="7" a="1"/>
  <c r="X54" i="7" s="1"/>
  <c r="O48" i="7" a="1"/>
  <c r="O48" i="7" s="1"/>
  <c r="P38" i="7" a="1"/>
  <c r="P38" i="7" s="1"/>
  <c r="E37" i="7" a="1"/>
  <c r="E37" i="7" s="1"/>
  <c r="H34" i="7" a="1"/>
  <c r="H34" i="7" s="1"/>
  <c r="M33" i="7" a="1"/>
  <c r="M33" i="7" s="1"/>
  <c r="S32" i="7" a="1"/>
  <c r="S32" i="7" s="1"/>
  <c r="J30" i="7" a="1"/>
  <c r="J30" i="7" s="1"/>
  <c r="S27" i="7" a="1"/>
  <c r="S27" i="7" s="1"/>
  <c r="J26" i="7" a="1"/>
  <c r="J26" i="7" s="1"/>
  <c r="W25" i="7" a="1"/>
  <c r="W25" i="7" s="1"/>
  <c r="L25" i="7" a="1"/>
  <c r="L25" i="7" s="1"/>
  <c r="X24" i="7" a="1"/>
  <c r="X24" i="7" s="1"/>
  <c r="F24" i="7"/>
  <c r="M23" i="7" a="1"/>
  <c r="M23" i="7" s="1"/>
  <c r="K22" i="7" a="1"/>
  <c r="K22" i="7" s="1"/>
  <c r="Y21" i="7" a="1"/>
  <c r="Y21" i="7" s="1"/>
  <c r="I21" i="7" a="1"/>
  <c r="I21" i="7" s="1"/>
  <c r="W20" i="7" a="1"/>
  <c r="W20" i="7" s="1"/>
  <c r="F20" i="7"/>
  <c r="U19" i="7" a="1"/>
  <c r="U19" i="7" s="1"/>
  <c r="H19" i="7" a="1"/>
  <c r="H19" i="7" s="1"/>
  <c r="Q18" i="7" a="1"/>
  <c r="Q18" i="7" s="1"/>
  <c r="M17" i="7" a="1"/>
  <c r="M17" i="7" s="1"/>
  <c r="E17" i="7" a="1"/>
  <c r="E17" i="7" s="1"/>
  <c r="O16" i="7" a="1"/>
  <c r="O16" i="7" s="1"/>
  <c r="N48" i="7" a="1"/>
  <c r="N48" i="7" s="1"/>
  <c r="P41" i="7" a="1"/>
  <c r="P41" i="7" s="1"/>
  <c r="X39" i="7" a="1"/>
  <c r="X39" i="7" s="1"/>
  <c r="X35" i="7" a="1"/>
  <c r="X35" i="7" s="1"/>
  <c r="I33" i="7" a="1"/>
  <c r="I33" i="7" s="1"/>
  <c r="O32" i="7" a="1"/>
  <c r="O32" i="7" s="1"/>
  <c r="N31" i="7" a="1"/>
  <c r="N31" i="7" s="1"/>
  <c r="S29" i="7" a="1"/>
  <c r="S29" i="7" s="1"/>
  <c r="F29" i="7"/>
  <c r="Q28" i="7" a="1"/>
  <c r="Q28" i="7" s="1"/>
  <c r="E28" i="7" a="1"/>
  <c r="E28" i="7" s="1"/>
  <c r="R27" i="7" a="1"/>
  <c r="R27" i="7" s="1"/>
  <c r="I27" i="7" a="1"/>
  <c r="I27" i="7" s="1"/>
  <c r="T26" i="7" a="1"/>
  <c r="T26" i="7" s="1"/>
  <c r="I26" i="7" a="1"/>
  <c r="I26" i="7" s="1"/>
  <c r="U25" i="7" a="1"/>
  <c r="U25" i="7" s="1"/>
  <c r="W24" i="7" a="1"/>
  <c r="W24" i="7" s="1"/>
  <c r="O24" i="7" a="1"/>
  <c r="O24" i="7" s="1"/>
  <c r="E24" i="7" a="1"/>
  <c r="E24" i="7" s="1"/>
  <c r="T23" i="7" a="1"/>
  <c r="T23" i="7" s="1"/>
  <c r="L23" i="7" a="1"/>
  <c r="L23" i="7" s="1"/>
  <c r="R22" i="7" a="1"/>
  <c r="R22" i="7" s="1"/>
  <c r="J22" i="7" a="1"/>
  <c r="J22" i="7" s="1"/>
  <c r="X21" i="7" a="1"/>
  <c r="X21" i="7" s="1"/>
  <c r="P21" i="7" a="1"/>
  <c r="P21" i="7" s="1"/>
  <c r="H21" i="7" a="1"/>
  <c r="H21" i="7" s="1"/>
  <c r="V20" i="7" a="1"/>
  <c r="V20" i="7" s="1"/>
  <c r="N20" i="7" a="1"/>
  <c r="N20" i="7" s="1"/>
  <c r="E20" i="7" a="1"/>
  <c r="E20" i="7" s="1"/>
  <c r="N19" i="7" a="1"/>
  <c r="N19" i="7" s="1"/>
  <c r="W18" i="7" a="1"/>
  <c r="W18" i="7" s="1"/>
  <c r="J18" i="7" a="1"/>
  <c r="J18" i="7" s="1"/>
  <c r="S17" i="7" a="1"/>
  <c r="S17" i="7" s="1"/>
  <c r="L17" i="7" a="1"/>
  <c r="L17" i="7" s="1"/>
  <c r="U16" i="7" a="1"/>
  <c r="U16" i="7" s="1"/>
  <c r="H16" i="7" a="1"/>
  <c r="H16" i="7" s="1"/>
  <c r="O54" i="7" a="1"/>
  <c r="O54" i="7" s="1"/>
  <c r="U45" i="7" a="1"/>
  <c r="U45" i="7" s="1"/>
  <c r="I43" i="7" a="1"/>
  <c r="I43" i="7" s="1"/>
  <c r="L38" i="7" a="1"/>
  <c r="L38" i="7" s="1"/>
  <c r="X33" i="7" a="1"/>
  <c r="X33" i="7" s="1"/>
  <c r="H33" i="7" a="1"/>
  <c r="H33" i="7" s="1"/>
  <c r="N32" i="7" a="1"/>
  <c r="N32" i="7" s="1"/>
  <c r="P29" i="7" a="1"/>
  <c r="P29" i="7" s="1"/>
  <c r="O28" i="7" a="1"/>
  <c r="O28" i="7" s="1"/>
  <c r="Q27" i="7" a="1"/>
  <c r="Q27" i="7" s="1"/>
  <c r="F27" i="7"/>
  <c r="T25" i="7" a="1"/>
  <c r="T25" i="7" s="1"/>
  <c r="K25" i="7" a="1"/>
  <c r="K25" i="7" s="1"/>
  <c r="Y22" i="7" a="1"/>
  <c r="Y22" i="7" s="1"/>
  <c r="W21" i="7" a="1"/>
  <c r="W21" i="7" s="1"/>
  <c r="U20" i="7" a="1"/>
  <c r="U20" i="7" s="1"/>
  <c r="T19" i="7" a="1"/>
  <c r="T19" i="7" s="1"/>
  <c r="F19" i="7"/>
  <c r="P18" i="7" a="1"/>
  <c r="P18" i="7" s="1"/>
  <c r="Y17" i="7" a="1"/>
  <c r="Y17" i="7" s="1"/>
  <c r="R17" i="7" a="1"/>
  <c r="R17" i="7" s="1"/>
  <c r="N16" i="7" a="1"/>
  <c r="N16" i="7" s="1"/>
  <c r="U47" i="7" a="1"/>
  <c r="U47" i="7" s="1"/>
  <c r="T45" i="7" a="1"/>
  <c r="T45" i="7" s="1"/>
  <c r="W35" i="7" a="1"/>
  <c r="W35" i="7" s="1"/>
  <c r="T34" i="7" a="1"/>
  <c r="T34" i="7" s="1"/>
  <c r="E33" i="7" a="1"/>
  <c r="E33" i="7" s="1"/>
  <c r="O29" i="7" a="1"/>
  <c r="O29" i="7" s="1"/>
  <c r="Y28" i="7" a="1"/>
  <c r="Y28" i="7" s="1"/>
  <c r="P63" i="7" a="1"/>
  <c r="P63" i="7" s="1"/>
  <c r="R50" i="7" a="1"/>
  <c r="R50" i="7" s="1"/>
  <c r="Q45" i="7" a="1"/>
  <c r="Q45" i="7" s="1"/>
  <c r="O39" i="7" a="1"/>
  <c r="O39" i="7" s="1"/>
  <c r="S36" i="7" a="1"/>
  <c r="S36" i="7" s="1"/>
  <c r="U35" i="7" a="1"/>
  <c r="U35" i="7" s="1"/>
  <c r="W33" i="7" a="1"/>
  <c r="W33" i="7" s="1"/>
  <c r="M32" i="7" a="1"/>
  <c r="M32" i="7" s="1"/>
  <c r="V31" i="7" a="1"/>
  <c r="V31" i="7" s="1"/>
  <c r="I31" i="7" a="1"/>
  <c r="I31" i="7" s="1"/>
  <c r="R30" i="7" a="1"/>
  <c r="R30" i="7" s="1"/>
  <c r="M28" i="7" a="1"/>
  <c r="M28" i="7" s="1"/>
  <c r="P27" i="7" a="1"/>
  <c r="P27" i="7" s="1"/>
  <c r="Q26" i="7" a="1"/>
  <c r="Q26" i="7" s="1"/>
  <c r="H25" i="7" a="1"/>
  <c r="H25" i="7" s="1"/>
  <c r="L24" i="7" a="1"/>
  <c r="L24" i="7" s="1"/>
  <c r="R23" i="7" a="1"/>
  <c r="R23" i="7" s="1"/>
  <c r="J23" i="7" a="1"/>
  <c r="J23" i="7" s="1"/>
  <c r="X22" i="7" a="1"/>
  <c r="X22" i="7" s="1"/>
  <c r="P22" i="7" a="1"/>
  <c r="P22" i="7" s="1"/>
  <c r="H22" i="7" a="1"/>
  <c r="H22" i="7" s="1"/>
  <c r="V21" i="7" a="1"/>
  <c r="V21" i="7" s="1"/>
  <c r="N21" i="7" a="1"/>
  <c r="N21" i="7" s="1"/>
  <c r="E21" i="7" a="1"/>
  <c r="E21" i="7" s="1"/>
  <c r="T20" i="7" a="1"/>
  <c r="T20" i="7" s="1"/>
  <c r="L20" i="7" a="1"/>
  <c r="L20" i="7" s="1"/>
  <c r="S19" i="7" a="1"/>
  <c r="S19" i="7" s="1"/>
  <c r="E19" i="7" a="1"/>
  <c r="E19" i="7" s="1"/>
  <c r="O18" i="7" a="1"/>
  <c r="O18" i="7" s="1"/>
  <c r="H18" i="7" a="1"/>
  <c r="H18" i="7" s="1"/>
  <c r="Q17" i="7" a="1"/>
  <c r="Q17" i="7" s="1"/>
  <c r="M16" i="7" a="1"/>
  <c r="M16" i="7" s="1"/>
  <c r="L56" i="7" a="1"/>
  <c r="L56" i="7" s="1"/>
  <c r="W52" i="7" a="1"/>
  <c r="W52" i="7" s="1"/>
  <c r="U46" i="7" a="1"/>
  <c r="U46" i="7" s="1"/>
  <c r="O37" i="7" a="1"/>
  <c r="O37" i="7" s="1"/>
  <c r="J36" i="7" a="1"/>
  <c r="J36" i="7" s="1"/>
  <c r="M35" i="7" a="1"/>
  <c r="M35" i="7" s="1"/>
  <c r="L34" i="7" a="1"/>
  <c r="L34" i="7" s="1"/>
  <c r="P33" i="7" a="1"/>
  <c r="P33" i="7" s="1"/>
  <c r="U32" i="7" a="1"/>
  <c r="U32" i="7" s="1"/>
  <c r="F32" i="7"/>
  <c r="Q31" i="7" a="1"/>
  <c r="Q31" i="7" s="1"/>
  <c r="M30" i="7" a="1"/>
  <c r="M30" i="7" s="1"/>
  <c r="V29" i="7" a="1"/>
  <c r="V29" i="7" s="1"/>
  <c r="J29" i="7" a="1"/>
  <c r="J29" i="7" s="1"/>
  <c r="T28" i="7" a="1"/>
  <c r="T28" i="7" s="1"/>
  <c r="K28" i="7" a="1"/>
  <c r="K28" i="7" s="1"/>
  <c r="L27" i="7" a="1"/>
  <c r="L27" i="7" s="1"/>
  <c r="Y26" i="7" a="1"/>
  <c r="Y26" i="7" s="1"/>
  <c r="N26" i="7" a="1"/>
  <c r="N26" i="7" s="1"/>
  <c r="Y25" i="7" a="1"/>
  <c r="Y25" i="7" s="1"/>
  <c r="O25" i="7" a="1"/>
  <c r="O25" i="7" s="1"/>
  <c r="R24" i="7" a="1"/>
  <c r="R24" i="7" s="1"/>
  <c r="O23" i="7" a="1"/>
  <c r="O23" i="7" s="1"/>
  <c r="M22" i="7" a="1"/>
  <c r="M22" i="7" s="1"/>
  <c r="K21" i="7" a="1"/>
  <c r="K21" i="7" s="1"/>
  <c r="I20" i="7" a="1"/>
  <c r="I20" i="7" s="1"/>
  <c r="Q19" i="7" a="1"/>
  <c r="Q19" i="7" s="1"/>
  <c r="J19" i="7" a="1"/>
  <c r="J19" i="7" s="1"/>
  <c r="S18" i="7" a="1"/>
  <c r="S18" i="7" s="1"/>
  <c r="E18" i="7" a="1"/>
  <c r="E18" i="7" s="1"/>
  <c r="O17" i="7" a="1"/>
  <c r="O17" i="7" s="1"/>
  <c r="X16" i="7" a="1"/>
  <c r="X16" i="7" s="1"/>
  <c r="K16" i="7" a="1"/>
  <c r="K16" i="7" s="1"/>
  <c r="P47" i="7" a="1"/>
  <c r="P47" i="7" s="1"/>
  <c r="P37" i="7" a="1"/>
  <c r="P37" i="7" s="1"/>
  <c r="Q34" i="7" a="1"/>
  <c r="Q34" i="7" s="1"/>
  <c r="Y29" i="7" a="1"/>
  <c r="Y29" i="7" s="1"/>
  <c r="Q25" i="7" a="1"/>
  <c r="Q25" i="7" s="1"/>
  <c r="I23" i="7" a="1"/>
  <c r="I23" i="7" s="1"/>
  <c r="I22" i="7" a="1"/>
  <c r="I22" i="7" s="1"/>
  <c r="L21" i="7" a="1"/>
  <c r="L21" i="7" s="1"/>
  <c r="J20" i="7" a="1"/>
  <c r="J20" i="7" s="1"/>
  <c r="T16" i="7" a="1"/>
  <c r="T16" i="7" s="1"/>
  <c r="U31" i="7" a="1"/>
  <c r="U31" i="7" s="1"/>
  <c r="N29" i="7" a="1"/>
  <c r="N29" i="7" s="1"/>
  <c r="S26" i="7" a="1"/>
  <c r="S26" i="7" s="1"/>
  <c r="I25" i="7" a="1"/>
  <c r="I25" i="7" s="1"/>
  <c r="J24" i="7" a="1"/>
  <c r="J24" i="7" s="1"/>
  <c r="F22" i="7"/>
  <c r="F21" i="7"/>
  <c r="K19" i="7" a="1"/>
  <c r="K19" i="7" s="1"/>
  <c r="M18" i="7" a="1"/>
  <c r="M18" i="7" s="1"/>
  <c r="P17" i="7" a="1"/>
  <c r="P17" i="7" s="1"/>
  <c r="S16" i="7" a="1"/>
  <c r="S16" i="7" s="1"/>
  <c r="Q36" i="7" a="1"/>
  <c r="Q36" i="7" s="1"/>
  <c r="Y27" i="7" a="1"/>
  <c r="Y27" i="7" s="1"/>
  <c r="P26" i="7" a="1"/>
  <c r="P26" i="7" s="1"/>
  <c r="F25" i="7"/>
  <c r="H23" i="7" a="1"/>
  <c r="H23" i="7" s="1"/>
  <c r="I18" i="7" a="1"/>
  <c r="I18" i="7" s="1"/>
  <c r="I53" i="7" a="1"/>
  <c r="I53" i="7" s="1"/>
  <c r="V33" i="7" a="1"/>
  <c r="V33" i="7" s="1"/>
  <c r="M29" i="7" a="1"/>
  <c r="M29" i="7" s="1"/>
  <c r="X27" i="7" a="1"/>
  <c r="X27" i="7" s="1"/>
  <c r="O26" i="7" a="1"/>
  <c r="O26" i="7" s="1"/>
  <c r="E22" i="7" a="1"/>
  <c r="E22" i="7" s="1"/>
  <c r="Y19" i="7" a="1"/>
  <c r="Y19" i="7" s="1"/>
  <c r="K17" i="7" a="1"/>
  <c r="K17" i="7" s="1"/>
  <c r="R16" i="7" a="1"/>
  <c r="R16" i="7" s="1"/>
  <c r="Q33" i="7" a="1"/>
  <c r="Q33" i="7" s="1"/>
  <c r="H31" i="7" a="1"/>
  <c r="H31" i="7" s="1"/>
  <c r="W27" i="7" a="1"/>
  <c r="W27" i="7" s="1"/>
  <c r="E25" i="7" a="1"/>
  <c r="E25" i="7" s="1"/>
  <c r="F18" i="7"/>
  <c r="J17" i="7" a="1"/>
  <c r="J17" i="7" s="1"/>
  <c r="N39" i="7" a="1"/>
  <c r="N39" i="7" s="1"/>
  <c r="X28" i="7" a="1"/>
  <c r="X28" i="7" s="1"/>
  <c r="H26" i="7" a="1"/>
  <c r="H26" i="7" s="1"/>
  <c r="Y23" i="7" a="1"/>
  <c r="Y23" i="7" s="1"/>
  <c r="X19" i="7" a="1"/>
  <c r="X19" i="7" s="1"/>
  <c r="W32" i="7" a="1"/>
  <c r="W32" i="7" s="1"/>
  <c r="W28" i="7" a="1"/>
  <c r="W28" i="7" s="1"/>
  <c r="O27" i="7" a="1"/>
  <c r="O27" i="7" s="1"/>
  <c r="U24" i="7" a="1"/>
  <c r="U24" i="7" s="1"/>
  <c r="S23" i="7" a="1"/>
  <c r="S23" i="7" s="1"/>
  <c r="V22" i="7" a="1"/>
  <c r="V22" i="7" s="1"/>
  <c r="U21" i="7" a="1"/>
  <c r="U21" i="7" s="1"/>
  <c r="S20" i="7" a="1"/>
  <c r="S20" i="7" s="1"/>
  <c r="U18" i="7" a="1"/>
  <c r="U18" i="7" s="1"/>
  <c r="X17" i="7" a="1"/>
  <c r="X17" i="7" s="1"/>
  <c r="V56" i="7" a="1"/>
  <c r="V56" i="7" s="1"/>
  <c r="N42" i="7" a="1"/>
  <c r="N42" i="7" s="1"/>
  <c r="Y37" i="7" a="1"/>
  <c r="Y37" i="7" s="1"/>
  <c r="S34" i="7" a="1"/>
  <c r="S34" i="7" s="1"/>
  <c r="H32" i="7" a="1"/>
  <c r="H32" i="7" s="1"/>
  <c r="L28" i="7" a="1"/>
  <c r="L28" i="7" s="1"/>
  <c r="R25" i="7" a="1"/>
  <c r="R25" i="7" s="1"/>
  <c r="M24" i="7" a="1"/>
  <c r="M24" i="7" s="1"/>
  <c r="P23" i="7" a="1"/>
  <c r="P23" i="7" s="1"/>
  <c r="O22" i="7" a="1"/>
  <c r="O22" i="7" s="1"/>
  <c r="M19" i="7" a="1"/>
  <c r="M19" i="7" s="1"/>
  <c r="V17" i="7" a="1"/>
  <c r="V17" i="7" s="1"/>
  <c r="Y16" i="7" a="1"/>
  <c r="Y16" i="7" s="1"/>
  <c r="W37" i="7" a="1"/>
  <c r="W37" i="7" s="1"/>
  <c r="K24" i="7" a="1"/>
  <c r="K24" i="7" s="1"/>
  <c r="K23" i="7" a="1"/>
  <c r="K23" i="7" s="1"/>
  <c r="N22" i="7" a="1"/>
  <c r="N22" i="7" s="1"/>
  <c r="M21" i="7" a="1"/>
  <c r="M21" i="7" s="1"/>
  <c r="K20" i="7" a="1"/>
  <c r="K20" i="7" s="1"/>
  <c r="L19" i="7" a="1"/>
  <c r="L19" i="7" s="1"/>
  <c r="N18" i="7" a="1"/>
  <c r="N18" i="7" s="1"/>
  <c r="S24" i="7" a="1"/>
  <c r="S24" i="7" s="1"/>
  <c r="O21" i="7" a="1"/>
  <c r="O21" i="7" s="1"/>
  <c r="X49" i="7" a="1"/>
  <c r="X49" i="7" s="1"/>
  <c r="X23" i="7" a="1"/>
  <c r="X23" i="7" s="1"/>
  <c r="W17" i="7" a="1"/>
  <c r="W17" i="7" s="1"/>
  <c r="S49" i="7" a="1"/>
  <c r="S49" i="7" s="1"/>
  <c r="L32" i="7" a="1"/>
  <c r="L32" i="7" s="1"/>
  <c r="M27" i="7" a="1"/>
  <c r="M27" i="7" s="1"/>
  <c r="R20" i="7" a="1"/>
  <c r="R20" i="7" s="1"/>
  <c r="E27" i="7" a="1"/>
  <c r="E27" i="7" s="1"/>
  <c r="Q23" i="7" a="1"/>
  <c r="Q23" i="7" s="1"/>
  <c r="M20" i="7" a="1"/>
  <c r="M20" i="7" s="1"/>
  <c r="I17" i="7" a="1"/>
  <c r="I17" i="7" s="1"/>
  <c r="P30" i="7" a="1"/>
  <c r="P30" i="7" s="1"/>
  <c r="Q22" i="7" a="1"/>
  <c r="Q22" i="7" s="1"/>
  <c r="R19" i="7" a="1"/>
  <c r="R19" i="7" s="1"/>
  <c r="L16" i="7" a="1"/>
  <c r="L16" i="7" s="1"/>
  <c r="N35" i="7" a="1"/>
  <c r="N35" i="7" s="1"/>
  <c r="V24" i="7" a="1"/>
  <c r="V24" i="7" s="1"/>
  <c r="V18" i="7" a="1"/>
  <c r="V18" i="7" s="1"/>
  <c r="N28" i="7" a="1"/>
  <c r="N28" i="7" s="1"/>
  <c r="T21" i="7" a="1"/>
  <c r="T21" i="7" s="1"/>
  <c r="T18" i="7" a="1"/>
  <c r="T18" i="7" s="1"/>
  <c r="F26" i="7"/>
  <c r="P35" i="7" a="1"/>
  <c r="P35" i="7" s="1"/>
  <c r="S25" i="7" a="1"/>
  <c r="S25" i="7" s="1"/>
  <c r="F16" i="7"/>
  <c r="E16" i="7" a="1"/>
  <c r="E16" i="7" s="1"/>
  <c r="W22" i="7" a="1"/>
  <c r="W22" i="7" s="1"/>
  <c r="V44" i="7" a="1"/>
  <c r="V44" i="7" s="1"/>
  <c r="A16" i="6"/>
  <c r="A17" i="6"/>
  <c r="A11" i="6"/>
  <c r="B14" i="6"/>
  <c r="S109" i="4"/>
  <c r="U97" i="4" s="1"/>
  <c r="U94" i="4" s="1"/>
  <c r="S69" i="4"/>
  <c r="U57" i="4" s="1"/>
  <c r="U54" i="4" s="1"/>
  <c r="S29" i="4"/>
  <c r="C34" i="4"/>
  <c r="C45" i="4"/>
  <c r="AY13" i="6"/>
  <c r="AY12" i="6" s="1"/>
  <c r="K50" i="4"/>
  <c r="N9" i="10"/>
  <c r="C33" i="4"/>
  <c r="C48" i="4"/>
  <c r="C27" i="4"/>
  <c r="A16" i="4"/>
  <c r="W12" i="8"/>
  <c r="X13" i="6"/>
  <c r="O7" i="11"/>
  <c r="AC13" i="12"/>
  <c r="K69" i="10"/>
  <c r="W82" i="10"/>
  <c r="E12" i="13"/>
  <c r="C47" i="4"/>
  <c r="C23" i="4"/>
  <c r="A30" i="4"/>
  <c r="A31" i="4" s="1"/>
  <c r="C31" i="4" s="1"/>
  <c r="C46" i="4"/>
  <c r="C28" i="4"/>
  <c r="K42" i="12"/>
  <c r="C21" i="4"/>
  <c r="C22" i="4"/>
  <c r="K132" i="4"/>
  <c r="B39" i="14"/>
  <c r="W81" i="10"/>
  <c r="K39" i="12"/>
  <c r="T44" i="5"/>
  <c r="B37" i="14"/>
  <c r="C14" i="14"/>
  <c r="O7" i="13"/>
  <c r="T34" i="6"/>
  <c r="P125" i="4"/>
  <c r="I42" i="8"/>
  <c r="I35" i="6"/>
  <c r="I33" i="6"/>
  <c r="AC13" i="6"/>
  <c r="AC12" i="6" s="1"/>
  <c r="AN13" i="6"/>
  <c r="AN12" i="6" s="1"/>
  <c r="B14" i="5"/>
  <c r="F14" i="5"/>
  <c r="G15" i="9"/>
  <c r="H15" i="10"/>
  <c r="S110" i="4"/>
  <c r="I12" i="10"/>
  <c r="H12" i="9"/>
  <c r="H11" i="9" s="1"/>
  <c r="S30" i="4"/>
  <c r="A36" i="4"/>
  <c r="C35" i="4"/>
  <c r="C24" i="4"/>
  <c r="AA42" i="8"/>
  <c r="AA43" i="8"/>
  <c r="AA41" i="8"/>
  <c r="P45" i="4"/>
  <c r="K14" i="5"/>
  <c r="J14" i="5"/>
  <c r="H14" i="5"/>
  <c r="A14" i="12"/>
  <c r="D14" i="5"/>
  <c r="B14" i="12" s="1"/>
  <c r="AD14" i="5"/>
  <c r="E14" i="5"/>
  <c r="G14" i="5"/>
  <c r="AE14" i="5"/>
  <c r="N14" i="5"/>
  <c r="E40" i="12"/>
  <c r="B80" i="10"/>
  <c r="F34" i="6"/>
  <c r="O43" i="5"/>
  <c r="D36" i="11"/>
  <c r="W79" i="10"/>
  <c r="A4" i="4"/>
  <c r="K51" i="4"/>
  <c r="K40" i="12"/>
  <c r="S70" i="4"/>
  <c r="K91" i="4"/>
  <c r="T33" i="6"/>
  <c r="K90" i="4"/>
  <c r="T43" i="5"/>
  <c r="K74" i="10" a="1"/>
  <c r="A18" i="6" l="1"/>
  <c r="A19" i="6" s="1"/>
  <c r="K74" i="10"/>
  <c r="C15" i="7" a="1"/>
  <c r="C15" i="7" s="1"/>
  <c r="B10" i="9"/>
  <c r="M69" i="10"/>
  <c r="I12" i="9"/>
  <c r="I11" i="9" s="1"/>
  <c r="U17" i="4"/>
  <c r="T17" i="4" s="1"/>
  <c r="H5" i="5"/>
  <c r="X8" i="5" s="1" a="1"/>
  <c r="X8" i="5" s="1"/>
  <c r="F5" i="5"/>
  <c r="G5" i="5"/>
  <c r="W8" i="5" s="1" a="1"/>
  <c r="W8" i="5" s="1"/>
  <c r="T97" i="4"/>
  <c r="T57" i="4"/>
  <c r="I104" i="4"/>
  <c r="I102" i="4"/>
  <c r="I114" i="4"/>
  <c r="I108" i="4"/>
  <c r="I121" i="4"/>
  <c r="I58" i="4"/>
  <c r="I88" i="4"/>
  <c r="I54" i="4"/>
  <c r="I75" i="4"/>
  <c r="I93" i="4"/>
  <c r="I62" i="4"/>
  <c r="I79" i="4"/>
  <c r="I63" i="4"/>
  <c r="I81" i="4"/>
  <c r="I73" i="4"/>
  <c r="I66" i="4"/>
  <c r="I70" i="4"/>
  <c r="I84" i="4"/>
  <c r="I68" i="4"/>
  <c r="I85" i="4"/>
  <c r="I82" i="4"/>
  <c r="I71" i="4"/>
  <c r="I80" i="4"/>
  <c r="I91" i="4"/>
  <c r="I74" i="4"/>
  <c r="I86" i="4"/>
  <c r="I90" i="4"/>
  <c r="I57" i="4"/>
  <c r="I59" i="4"/>
  <c r="I89" i="4"/>
  <c r="I78" i="4"/>
  <c r="I64" i="4"/>
  <c r="I60" i="4"/>
  <c r="I55" i="4"/>
  <c r="I77" i="4"/>
  <c r="I61" i="4"/>
  <c r="I72" i="4"/>
  <c r="I132" i="4"/>
  <c r="I122" i="4"/>
  <c r="I123" i="4"/>
  <c r="I105" i="4"/>
  <c r="I97" i="4"/>
  <c r="I109" i="4"/>
  <c r="I116" i="4"/>
  <c r="I124" i="4"/>
  <c r="I127" i="4"/>
  <c r="I120" i="4"/>
  <c r="I100" i="4"/>
  <c r="I96" i="4"/>
  <c r="I128" i="4"/>
  <c r="I101" i="4"/>
  <c r="I99" i="4"/>
  <c r="I94" i="4"/>
  <c r="I113" i="4"/>
  <c r="I107" i="4"/>
  <c r="I125" i="4"/>
  <c r="I119" i="4"/>
  <c r="I65" i="4"/>
  <c r="I87" i="4"/>
  <c r="I76" i="4"/>
  <c r="I67" i="4"/>
  <c r="I69" i="4"/>
  <c r="I56" i="4"/>
  <c r="I126" i="4"/>
  <c r="I106" i="4"/>
  <c r="I111" i="4"/>
  <c r="I117" i="4"/>
  <c r="I130" i="4"/>
  <c r="I95" i="4"/>
  <c r="I110" i="4"/>
  <c r="I131" i="4"/>
  <c r="I129" i="4"/>
  <c r="I98" i="4"/>
  <c r="I112" i="4"/>
  <c r="I118" i="4"/>
  <c r="I103" i="4"/>
  <c r="I115" i="4"/>
  <c r="I83" i="4"/>
  <c r="I92" i="4"/>
  <c r="AZ13" i="6"/>
  <c r="AZ12" i="6" s="1"/>
  <c r="C30" i="4"/>
  <c r="C16" i="4"/>
  <c r="A17" i="4"/>
  <c r="X12" i="8"/>
  <c r="AD13" i="12"/>
  <c r="Y13" i="6"/>
  <c r="B42" i="14"/>
  <c r="AD13" i="6"/>
  <c r="AD12" i="6" s="1"/>
  <c r="AO13" i="6"/>
  <c r="AO12" i="6" s="1"/>
  <c r="B8" i="14"/>
  <c r="I10" i="13"/>
  <c r="I11" i="10"/>
  <c r="J12" i="10"/>
  <c r="D14" i="6"/>
  <c r="H14" i="6" s="1"/>
  <c r="C4" i="4"/>
  <c r="A5" i="4"/>
  <c r="C36" i="4"/>
  <c r="A37" i="4"/>
  <c r="C37" i="4" s="1"/>
  <c r="M74" i="10" a="1"/>
  <c r="N19" i="6" l="1"/>
  <c r="AH24" i="5"/>
  <c r="AH19" i="5"/>
  <c r="V8" i="5" a="1"/>
  <c r="V8" i="5" s="1"/>
  <c r="AH26" i="5"/>
  <c r="AH21" i="5"/>
  <c r="AH18" i="5"/>
  <c r="AH22" i="5"/>
  <c r="AH23" i="5"/>
  <c r="AH25" i="5"/>
  <c r="AH20" i="5"/>
  <c r="F21" i="6"/>
  <c r="E21" i="12"/>
  <c r="A20" i="6"/>
  <c r="N18" i="6"/>
  <c r="E25" i="12"/>
  <c r="F25" i="6"/>
  <c r="G21" i="6"/>
  <c r="G25" i="6"/>
  <c r="M74" i="10"/>
  <c r="AH17" i="5"/>
  <c r="AN17" i="5" s="1"/>
  <c r="AH16" i="5"/>
  <c r="AN16" i="5" s="1"/>
  <c r="O69" i="10"/>
  <c r="J12" i="9"/>
  <c r="J11" i="9" s="1"/>
  <c r="U14" i="4"/>
  <c r="U7" i="4" s="1"/>
  <c r="AH14" i="5"/>
  <c r="W14" i="5" s="1"/>
  <c r="H14" i="12" s="1"/>
  <c r="BA13" i="6"/>
  <c r="BA12" i="6" s="1"/>
  <c r="A18" i="4"/>
  <c r="C17" i="4"/>
  <c r="Y12" i="8"/>
  <c r="AE13" i="12"/>
  <c r="Z13" i="6"/>
  <c r="AE13" i="6"/>
  <c r="AP13" i="6"/>
  <c r="AP12" i="6" s="1"/>
  <c r="K12" i="10"/>
  <c r="J11" i="10"/>
  <c r="A14" i="6"/>
  <c r="N14" i="6" s="1"/>
  <c r="C5" i="4"/>
  <c r="A6" i="4"/>
  <c r="N20" i="6" l="1"/>
  <c r="AN25" i="5"/>
  <c r="W25" i="5"/>
  <c r="AN21" i="5"/>
  <c r="W21" i="5"/>
  <c r="H68" i="10"/>
  <c r="Q69" i="10"/>
  <c r="K12" i="9"/>
  <c r="K11" i="9" s="1"/>
  <c r="AN14" i="5"/>
  <c r="T106" i="4"/>
  <c r="T105" i="4"/>
  <c r="T104" i="4"/>
  <c r="T103" i="4"/>
  <c r="T102" i="4"/>
  <c r="T101" i="4"/>
  <c r="T66" i="4"/>
  <c r="T65" i="4"/>
  <c r="T64" i="4"/>
  <c r="T63" i="4"/>
  <c r="T62" i="4"/>
  <c r="T61" i="4"/>
  <c r="T26" i="4"/>
  <c r="T25" i="4"/>
  <c r="T24" i="4"/>
  <c r="T23" i="4"/>
  <c r="T22" i="4"/>
  <c r="T21" i="4"/>
  <c r="M14" i="6"/>
  <c r="BB13" i="6"/>
  <c r="AF13" i="6"/>
  <c r="AF12" i="6" s="1"/>
  <c r="AE12" i="6"/>
  <c r="A19" i="4"/>
  <c r="C19" i="4" s="1"/>
  <c r="C18" i="4"/>
  <c r="Z12" i="8"/>
  <c r="AF13" i="12"/>
  <c r="AQ13" i="6"/>
  <c r="L12" i="10"/>
  <c r="A7" i="4"/>
  <c r="C7" i="4" s="1"/>
  <c r="C6" i="4"/>
  <c r="Q74" i="10" a="1"/>
  <c r="O74" i="10" a="1"/>
  <c r="H21" i="12" l="1"/>
  <c r="H25" i="12"/>
  <c r="Q74" i="10"/>
  <c r="O74" i="10"/>
  <c r="S69" i="10"/>
  <c r="L12" i="9"/>
  <c r="L11" i="9" s="1"/>
  <c r="BB12" i="6"/>
  <c r="AQ12" i="6"/>
  <c r="AG13" i="6"/>
  <c r="AG12" i="6" s="1"/>
  <c r="BC13" i="6"/>
  <c r="AA12" i="8"/>
  <c r="AG13" i="12"/>
  <c r="AR13" i="6"/>
  <c r="L11" i="10"/>
  <c r="M12" i="10"/>
  <c r="Z69" i="4"/>
  <c r="Y29" i="4"/>
  <c r="Z21" i="4"/>
  <c r="Y64" i="4"/>
  <c r="X21" i="4"/>
  <c r="Y24" i="4"/>
  <c r="X103" i="4"/>
  <c r="Y102" i="4"/>
  <c r="Y101" i="4"/>
  <c r="Y21" i="4"/>
  <c r="X105" i="4"/>
  <c r="Y103" i="4"/>
  <c r="Z62" i="4"/>
  <c r="X29" i="4"/>
  <c r="X109" i="4"/>
  <c r="X101" i="4"/>
  <c r="Z23" i="4"/>
  <c r="Y62" i="4"/>
  <c r="X62" i="4"/>
  <c r="Z109" i="4"/>
  <c r="Z103" i="4"/>
  <c r="Z102" i="4"/>
  <c r="Z24" i="4"/>
  <c r="X61" i="4"/>
  <c r="Z63" i="4"/>
  <c r="X23" i="4"/>
  <c r="X65" i="4"/>
  <c r="Z105" i="4"/>
  <c r="Y104" i="4"/>
  <c r="Z61" i="4"/>
  <c r="Z29" i="4"/>
  <c r="Y65" i="4"/>
  <c r="Y109" i="4"/>
  <c r="Z104" i="4"/>
  <c r="Y69" i="4"/>
  <c r="X25" i="4"/>
  <c r="Z25" i="4"/>
  <c r="X22" i="4"/>
  <c r="X63" i="4"/>
  <c r="Y25" i="4"/>
  <c r="Y22" i="4"/>
  <c r="Z65" i="4"/>
  <c r="X69" i="4"/>
  <c r="Y61" i="4"/>
  <c r="X102" i="4"/>
  <c r="X104" i="4"/>
  <c r="X64" i="4"/>
  <c r="Y105" i="4"/>
  <c r="Y63" i="4"/>
  <c r="Z22" i="4"/>
  <c r="Z101" i="4"/>
  <c r="Z64" i="4"/>
  <c r="X24" i="4"/>
  <c r="Y23" i="4"/>
  <c r="S74" i="10" a="1"/>
  <c r="J25" i="5" l="1"/>
  <c r="K25" i="5"/>
  <c r="J21" i="5"/>
  <c r="K21" i="5"/>
  <c r="A21" i="6"/>
  <c r="S74" i="10"/>
  <c r="U69" i="10"/>
  <c r="M12" i="9"/>
  <c r="M11" i="9" s="1"/>
  <c r="U29" i="4"/>
  <c r="U64" i="4"/>
  <c r="U104" i="4"/>
  <c r="U105" i="4"/>
  <c r="U61" i="4"/>
  <c r="U25" i="4"/>
  <c r="U102" i="4"/>
  <c r="U62" i="4"/>
  <c r="U69" i="4"/>
  <c r="U63" i="4"/>
  <c r="U21" i="4"/>
  <c r="U22" i="4"/>
  <c r="U23" i="4"/>
  <c r="U103" i="4"/>
  <c r="U24" i="4"/>
  <c r="U101" i="4"/>
  <c r="U65" i="4"/>
  <c r="U109" i="4"/>
  <c r="K112" i="4" s="1"/>
  <c r="BC12" i="6"/>
  <c r="AR12" i="6"/>
  <c r="AH13" i="6"/>
  <c r="AH12" i="6" s="1"/>
  <c r="BD13" i="6"/>
  <c r="AB12" i="8"/>
  <c r="AH13" i="12"/>
  <c r="AS13" i="6"/>
  <c r="M11" i="10"/>
  <c r="N12" i="10"/>
  <c r="U74" i="10" a="1"/>
  <c r="I25" i="5" l="1"/>
  <c r="D25" i="5"/>
  <c r="D21" i="5"/>
  <c r="N21" i="6"/>
  <c r="A22" i="6"/>
  <c r="U74" i="10"/>
  <c r="AB10" i="12"/>
  <c r="W69" i="10"/>
  <c r="N12" i="9"/>
  <c r="N11" i="9" s="1"/>
  <c r="J72" i="4"/>
  <c r="U8" i="4"/>
  <c r="BD12" i="6"/>
  <c r="AS12" i="6"/>
  <c r="AI13" i="6"/>
  <c r="AI12" i="6" s="1"/>
  <c r="BE13" i="6"/>
  <c r="AC12" i="8"/>
  <c r="AI13" i="12"/>
  <c r="K72" i="4"/>
  <c r="J112" i="4"/>
  <c r="AT13" i="6"/>
  <c r="O12" i="10"/>
  <c r="N11" i="10"/>
  <c r="K32" i="4"/>
  <c r="J32" i="4"/>
  <c r="W74" i="10" a="1"/>
  <c r="B25" i="12" l="1"/>
  <c r="B21" i="12"/>
  <c r="A23" i="6"/>
  <c r="A24" i="6" s="1"/>
  <c r="N22" i="6"/>
  <c r="W74" i="10"/>
  <c r="O12" i="9"/>
  <c r="O11" i="9" s="1"/>
  <c r="Y69" i="10"/>
  <c r="T11" i="11"/>
  <c r="BE12" i="6"/>
  <c r="AT12" i="6"/>
  <c r="AJ13" i="6"/>
  <c r="AJ12" i="6" s="1"/>
  <c r="BF13" i="6"/>
  <c r="AD12" i="8"/>
  <c r="AJ13" i="12"/>
  <c r="AU13" i="6"/>
  <c r="P12" i="10"/>
  <c r="O11" i="10"/>
  <c r="Y74" i="10" a="1"/>
  <c r="N24" i="6" l="1"/>
  <c r="A25" i="6"/>
  <c r="N23" i="6"/>
  <c r="Y74" i="10"/>
  <c r="P12" i="9"/>
  <c r="P11" i="9" s="1"/>
  <c r="AA69" i="10"/>
  <c r="BF12" i="6"/>
  <c r="AU12" i="6"/>
  <c r="AK13" i="6"/>
  <c r="BG13" i="6"/>
  <c r="AE12" i="8"/>
  <c r="AK13" i="12"/>
  <c r="AV13" i="6"/>
  <c r="Q12" i="10"/>
  <c r="P11" i="10"/>
  <c r="AA74" i="10" a="1"/>
  <c r="A26" i="6" l="1"/>
  <c r="N25" i="6"/>
  <c r="AA74" i="10"/>
  <c r="AK12" i="6"/>
  <c r="Q12" i="9"/>
  <c r="Q11" i="9" s="1"/>
  <c r="AC69" i="10"/>
  <c r="BG12" i="6"/>
  <c r="AV12" i="6"/>
  <c r="AF12" i="8"/>
  <c r="AL13" i="12"/>
  <c r="Q11" i="10"/>
  <c r="R12" i="10"/>
  <c r="AC74" i="10" a="1"/>
  <c r="N26" i="6" l="1"/>
  <c r="AC74" i="10"/>
  <c r="R12" i="9"/>
  <c r="R11" i="9" s="1"/>
  <c r="AE69" i="10"/>
  <c r="AM13" i="12"/>
  <c r="R11" i="10"/>
  <c r="S12" i="10"/>
  <c r="AE74" i="10" a="1"/>
  <c r="AE74" i="10" l="1"/>
  <c r="S12" i="9"/>
  <c r="S11" i="9" s="1"/>
  <c r="AO7" i="12"/>
  <c r="T12" i="10"/>
  <c r="S11" i="10"/>
  <c r="J22" i="12" a="1"/>
  <c r="L23" i="12" a="1"/>
  <c r="L18" i="12" a="1"/>
  <c r="J19" i="12" a="1"/>
  <c r="J20" i="12" a="1"/>
  <c r="J18" i="12" a="1"/>
  <c r="L20" i="12" a="1"/>
  <c r="L26" i="12" a="1"/>
  <c r="J23" i="12" a="1"/>
  <c r="J26" i="12" a="1"/>
  <c r="L19" i="12" a="1"/>
  <c r="J14" i="12" a="1"/>
  <c r="L14" i="12" a="1"/>
  <c r="J24" i="12" a="1"/>
  <c r="L24" i="12" a="1"/>
  <c r="L22" i="12" a="1"/>
  <c r="J19" i="12" l="1"/>
  <c r="L19" i="12"/>
  <c r="J24" i="12"/>
  <c r="L24" i="12"/>
  <c r="J20" i="12"/>
  <c r="J26" i="12"/>
  <c r="J23" i="12"/>
  <c r="L26" i="12"/>
  <c r="L23" i="12"/>
  <c r="L18" i="12"/>
  <c r="J18" i="12"/>
  <c r="L22" i="12"/>
  <c r="J22" i="12"/>
  <c r="L20" i="12"/>
  <c r="L14" i="12"/>
  <c r="J14" i="12"/>
  <c r="T12" i="9"/>
  <c r="T11" i="9" s="1"/>
  <c r="U12" i="10"/>
  <c r="T11" i="10"/>
  <c r="K19" i="12" l="1"/>
  <c r="K24" i="12"/>
  <c r="K18" i="12"/>
  <c r="K20" i="12"/>
  <c r="K26" i="12"/>
  <c r="K22" i="12"/>
  <c r="K23" i="12"/>
  <c r="K14" i="12"/>
  <c r="U12" i="9"/>
  <c r="U11" i="9" s="1"/>
  <c r="V12" i="10"/>
  <c r="U11" i="10"/>
  <c r="V12" i="9" l="1"/>
  <c r="V11" i="9" s="1"/>
  <c r="W12" i="10"/>
  <c r="V11" i="10"/>
  <c r="W12" i="9" l="1"/>
  <c r="W11" i="9" s="1"/>
  <c r="W11" i="10"/>
  <c r="X12" i="10"/>
  <c r="X12" i="9" l="1"/>
  <c r="X11" i="9" s="1"/>
  <c r="Y12" i="10"/>
  <c r="X11" i="10"/>
  <c r="Y12" i="9" l="1"/>
  <c r="Y11" i="9" s="1"/>
  <c r="Y11" i="10"/>
  <c r="Z12" i="10"/>
  <c r="Z12" i="9" l="1"/>
  <c r="Z11" i="9" s="1"/>
  <c r="Z11" i="10"/>
  <c r="AA12" i="10"/>
  <c r="AA12" i="9" l="1"/>
  <c r="AA11" i="9" s="1"/>
  <c r="AB12" i="10"/>
  <c r="AA11" i="10"/>
  <c r="AB12" i="9" l="1"/>
  <c r="AB11" i="9" s="1"/>
  <c r="AB11" i="10"/>
  <c r="AC12" i="10"/>
  <c r="AC12" i="9" l="1"/>
  <c r="AC11" i="9" s="1"/>
  <c r="AC11" i="10"/>
  <c r="AD12" i="10"/>
  <c r="AD12" i="9" l="1"/>
  <c r="AD11" i="9" s="1"/>
  <c r="AE12" i="10"/>
  <c r="AD11" i="10"/>
  <c r="AE12" i="9" l="1"/>
  <c r="AE11" i="9" s="1"/>
  <c r="AE11" i="10"/>
  <c r="AF12" i="10"/>
  <c r="AF11" i="10" l="1"/>
  <c r="A15" i="10" l="1"/>
  <c r="L10" i="7" l="1"/>
  <c r="M10" i="7" l="1"/>
  <c r="N10" i="7" l="1"/>
  <c r="O10" i="7" l="1"/>
  <c r="P10" i="7" l="1"/>
  <c r="Q10" i="7" l="1"/>
  <c r="R10" i="7" l="1"/>
  <c r="S10" i="7" l="1"/>
  <c r="T10" i="7" l="1"/>
  <c r="U10" i="7" l="1"/>
  <c r="V10" i="7" l="1"/>
  <c r="W10" i="7" l="1"/>
  <c r="X10" i="7" l="1"/>
  <c r="Y10" i="7" l="1"/>
  <c r="K11" i="10" l="1"/>
  <c r="K10" i="7"/>
  <c r="T14" i="5" l="1"/>
  <c r="G14" i="12" l="1"/>
  <c r="A8" i="9" l="1"/>
  <c r="B7" i="9" a="1"/>
  <c r="B7" i="9" s="1"/>
  <c r="A15" i="6" a="1"/>
  <c r="A15" i="6" s="1"/>
  <c r="M18" i="6" l="1"/>
  <c r="M19" i="6" s="1"/>
  <c r="AZ16" i="6"/>
  <c r="BF16" i="6"/>
  <c r="BA16" i="6"/>
  <c r="AT16" i="6"/>
  <c r="BF17" i="6"/>
  <c r="BB16" i="6"/>
  <c r="AY16" i="6"/>
  <c r="AU17" i="6"/>
  <c r="AS17" i="6"/>
  <c r="AN16" i="6"/>
  <c r="AM17" i="6"/>
  <c r="BC16" i="6"/>
  <c r="AS16" i="6"/>
  <c r="BG16" i="6"/>
  <c r="AP17" i="6"/>
  <c r="BC17" i="6"/>
  <c r="AQ17" i="6"/>
  <c r="AZ17" i="6"/>
  <c r="BG17" i="6"/>
  <c r="AU16" i="6"/>
  <c r="BB17" i="6"/>
  <c r="AQ16" i="6"/>
  <c r="AV16" i="6"/>
  <c r="BE17" i="6"/>
  <c r="AB16" i="6"/>
  <c r="AO17" i="6"/>
  <c r="AN17" i="6"/>
  <c r="AR17" i="6"/>
  <c r="AV17" i="6"/>
  <c r="BA17" i="6"/>
  <c r="AT17" i="6"/>
  <c r="AO16" i="6"/>
  <c r="AY17" i="6"/>
  <c r="AB17" i="6"/>
  <c r="AX17" i="6"/>
  <c r="AR16" i="6"/>
  <c r="AX16" i="6"/>
  <c r="AM16" i="6"/>
  <c r="BD17" i="6"/>
  <c r="BD16" i="6"/>
  <c r="AP16" i="6"/>
  <c r="BE16" i="6"/>
  <c r="AC17" i="6"/>
  <c r="AC16" i="6"/>
  <c r="AD16" i="6"/>
  <c r="AD17" i="6"/>
  <c r="AE16" i="6"/>
  <c r="AF16" i="6"/>
  <c r="AF17" i="6"/>
  <c r="AE17" i="6"/>
  <c r="AG16" i="6"/>
  <c r="AG17" i="6"/>
  <c r="AH17" i="6"/>
  <c r="AH16" i="6"/>
  <c r="AI17" i="6"/>
  <c r="AI16" i="6"/>
  <c r="AJ17" i="6"/>
  <c r="AJ16" i="6"/>
  <c r="AK17" i="6"/>
  <c r="AK16" i="6"/>
  <c r="AI14" i="6"/>
  <c r="BE14" i="6"/>
  <c r="AK14" i="6"/>
  <c r="AR14" i="6"/>
  <c r="AO14" i="6"/>
  <c r="AM14" i="6"/>
  <c r="BC14" i="6"/>
  <c r="D15" i="7"/>
  <c r="C16" i="7" s="1" a="1"/>
  <c r="C16" i="7" s="1"/>
  <c r="B15" i="9"/>
  <c r="B16" i="9" s="1"/>
  <c r="B15" i="10"/>
  <c r="B16" i="10" s="1"/>
  <c r="AQ14" i="6"/>
  <c r="AB14" i="6"/>
  <c r="AY14" i="6"/>
  <c r="AJ14" i="6"/>
  <c r="AN14" i="6"/>
  <c r="BB14" i="6"/>
  <c r="AG14" i="6"/>
  <c r="AS14" i="6"/>
  <c r="BD14" i="6"/>
  <c r="AE14" i="6"/>
  <c r="BF14" i="6"/>
  <c r="AX14" i="6"/>
  <c r="AZ14" i="6"/>
  <c r="AV14" i="6"/>
  <c r="AT14" i="6"/>
  <c r="AP14" i="6"/>
  <c r="BG14" i="6"/>
  <c r="AU14" i="6"/>
  <c r="AC14" i="6"/>
  <c r="AH14" i="6"/>
  <c r="AF14" i="6"/>
  <c r="BA14" i="6"/>
  <c r="AD14" i="6"/>
  <c r="BA19" i="6" l="1"/>
  <c r="AM19" i="6"/>
  <c r="AP19" i="6"/>
  <c r="BD19" i="6"/>
  <c r="AY19" i="6"/>
  <c r="AZ19" i="6"/>
  <c r="AV19" i="6"/>
  <c r="AS19" i="6"/>
  <c r="BC19" i="6"/>
  <c r="BE19" i="6"/>
  <c r="BB19" i="6"/>
  <c r="AT19" i="6"/>
  <c r="AQ19" i="6"/>
  <c r="BF19" i="6"/>
  <c r="AN19" i="6"/>
  <c r="AU19" i="6"/>
  <c r="AX19" i="6"/>
  <c r="BG19" i="6"/>
  <c r="AR19" i="6"/>
  <c r="AO19" i="6"/>
  <c r="AB19" i="6"/>
  <c r="AC19" i="6"/>
  <c r="AD19" i="6"/>
  <c r="AF19" i="6"/>
  <c r="AE19" i="6"/>
  <c r="AG19" i="6"/>
  <c r="AH19" i="6"/>
  <c r="AI19" i="6"/>
  <c r="AJ19" i="6"/>
  <c r="AK19" i="6"/>
  <c r="M21" i="6"/>
  <c r="BG21" i="6" s="1"/>
  <c r="M20" i="6"/>
  <c r="BG20" i="6" s="1"/>
  <c r="AB18" i="6"/>
  <c r="AZ18" i="6"/>
  <c r="AO18" i="6"/>
  <c r="AY18" i="6"/>
  <c r="AN18" i="6"/>
  <c r="AM18" i="6"/>
  <c r="AR18" i="6"/>
  <c r="BG18" i="6"/>
  <c r="BE18" i="6"/>
  <c r="AU18" i="6"/>
  <c r="AV18" i="6"/>
  <c r="AT18" i="6"/>
  <c r="AX18" i="6"/>
  <c r="AP18" i="6"/>
  <c r="BC18" i="6"/>
  <c r="AS18" i="6"/>
  <c r="BF18" i="6"/>
  <c r="AQ18" i="6"/>
  <c r="BB18" i="6"/>
  <c r="BD18" i="6"/>
  <c r="BA18" i="6"/>
  <c r="AC18" i="6"/>
  <c r="AD18" i="6"/>
  <c r="AE18" i="6"/>
  <c r="AF18" i="6"/>
  <c r="AG18" i="6"/>
  <c r="AH18" i="6"/>
  <c r="AI18" i="6"/>
  <c r="AJ18" i="6"/>
  <c r="AK18" i="6"/>
  <c r="B16" i="7"/>
  <c r="C17" i="7" a="1"/>
  <c r="C17" i="7" s="1"/>
  <c r="B17" i="9"/>
  <c r="B17" i="10"/>
  <c r="X14" i="5" a="1"/>
  <c r="X14" i="5" s="1"/>
  <c r="B15" i="7"/>
  <c r="C15" i="9"/>
  <c r="F15" i="9" s="1"/>
  <c r="C15" i="10"/>
  <c r="A15" i="7"/>
  <c r="AJ21" i="6" l="1"/>
  <c r="BF21" i="6"/>
  <c r="AC20" i="6"/>
  <c r="AB20" i="6"/>
  <c r="AH20" i="6"/>
  <c r="AP20" i="6"/>
  <c r="AU20" i="6"/>
  <c r="BB20" i="6"/>
  <c r="AK20" i="6"/>
  <c r="AY20" i="6"/>
  <c r="AG20" i="6"/>
  <c r="BF20" i="6"/>
  <c r="AR20" i="6"/>
  <c r="AZ20" i="6"/>
  <c r="AD20" i="6"/>
  <c r="AT20" i="6"/>
  <c r="AN20" i="6"/>
  <c r="AJ20" i="6"/>
  <c r="AE20" i="6"/>
  <c r="AQ20" i="6"/>
  <c r="BC20" i="6"/>
  <c r="AX20" i="6"/>
  <c r="AV20" i="6"/>
  <c r="AM20" i="6"/>
  <c r="BD20" i="6"/>
  <c r="AI20" i="6"/>
  <c r="AF20" i="6"/>
  <c r="AO20" i="6"/>
  <c r="AS20" i="6"/>
  <c r="BE20" i="6"/>
  <c r="BA20" i="6"/>
  <c r="M22" i="6"/>
  <c r="M25" i="6"/>
  <c r="AF21" i="6"/>
  <c r="BB21" i="6"/>
  <c r="AR21" i="6"/>
  <c r="AY21" i="6"/>
  <c r="AS21" i="6"/>
  <c r="AB21" i="6"/>
  <c r="AI21" i="6"/>
  <c r="AE21" i="6"/>
  <c r="AQ21" i="6"/>
  <c r="AV21" i="6"/>
  <c r="BD21" i="6"/>
  <c r="AN21" i="6"/>
  <c r="BC21" i="6"/>
  <c r="AH21" i="6"/>
  <c r="AD21" i="6"/>
  <c r="AU21" i="6"/>
  <c r="BA21" i="6"/>
  <c r="AT21" i="6"/>
  <c r="AP21" i="6"/>
  <c r="BE21" i="6"/>
  <c r="AK21" i="6"/>
  <c r="AG21" i="6"/>
  <c r="AC21" i="6"/>
  <c r="AO21" i="6"/>
  <c r="AM21" i="6"/>
  <c r="AX21" i="6"/>
  <c r="AZ21" i="6"/>
  <c r="C18" i="7" a="1"/>
  <c r="C18" i="7" s="1"/>
  <c r="B17" i="7"/>
  <c r="B18" i="9"/>
  <c r="B18" i="10"/>
  <c r="I14" i="12"/>
  <c r="I14" i="5"/>
  <c r="Z14" i="5"/>
  <c r="L14" i="5"/>
  <c r="AM14" i="5"/>
  <c r="AP22" i="6" l="1"/>
  <c r="M24" i="6"/>
  <c r="BF22" i="6"/>
  <c r="AG22" i="6"/>
  <c r="BA22" i="6"/>
  <c r="BG22" i="6"/>
  <c r="AC22" i="6"/>
  <c r="AE22" i="6"/>
  <c r="AY22" i="6"/>
  <c r="BB22" i="6"/>
  <c r="AX22" i="6"/>
  <c r="AK22" i="6"/>
  <c r="AJ22" i="6"/>
  <c r="AO22" i="6"/>
  <c r="AI22" i="6"/>
  <c r="AQ22" i="6"/>
  <c r="BC22" i="6"/>
  <c r="AF22" i="6"/>
  <c r="M23" i="6"/>
  <c r="AN22" i="6"/>
  <c r="BE22" i="6"/>
  <c r="AU22" i="6"/>
  <c r="AT22" i="6"/>
  <c r="AR22" i="6"/>
  <c r="BD22" i="6"/>
  <c r="AH22" i="6"/>
  <c r="AS22" i="6"/>
  <c r="AD22" i="6"/>
  <c r="AZ22" i="6"/>
  <c r="AM22" i="6"/>
  <c r="AB22" i="6"/>
  <c r="AV22" i="6"/>
  <c r="BE25" i="6"/>
  <c r="AX25" i="6"/>
  <c r="BC25" i="6"/>
  <c r="BB25" i="6"/>
  <c r="AT25" i="6"/>
  <c r="AC25" i="6"/>
  <c r="AG25" i="6"/>
  <c r="AK25" i="6"/>
  <c r="BG25" i="6"/>
  <c r="AV25" i="6"/>
  <c r="AO25" i="6"/>
  <c r="AZ25" i="6"/>
  <c r="AP25" i="6"/>
  <c r="AU25" i="6"/>
  <c r="AM25" i="6"/>
  <c r="AD25" i="6"/>
  <c r="AH25" i="6"/>
  <c r="AY25" i="6"/>
  <c r="BF25" i="6"/>
  <c r="AE25" i="6"/>
  <c r="AN25" i="6"/>
  <c r="AS25" i="6"/>
  <c r="AR25" i="6"/>
  <c r="AB25" i="6"/>
  <c r="BA25" i="6"/>
  <c r="AF25" i="6"/>
  <c r="AI25" i="6"/>
  <c r="BD25" i="6"/>
  <c r="AQ25" i="6"/>
  <c r="AJ25" i="6"/>
  <c r="B19" i="10"/>
  <c r="B19" i="9"/>
  <c r="B18" i="7"/>
  <c r="C19" i="7" a="1"/>
  <c r="C19" i="7" s="1"/>
  <c r="O14" i="5"/>
  <c r="C14" i="6"/>
  <c r="AB14" i="5"/>
  <c r="AA14" i="5"/>
  <c r="C14" i="12"/>
  <c r="O14" i="12"/>
  <c r="AO14" i="12"/>
  <c r="M14" i="12"/>
  <c r="M26" i="6" l="1"/>
  <c r="AS26" i="6" s="1"/>
  <c r="AF23" i="6"/>
  <c r="AI23" i="6"/>
  <c r="AX24" i="6"/>
  <c r="BD24" i="6"/>
  <c r="AT24" i="6"/>
  <c r="AY24" i="6"/>
  <c r="AO24" i="6"/>
  <c r="BG24" i="6"/>
  <c r="BB24" i="6"/>
  <c r="AS24" i="6"/>
  <c r="AM24" i="6"/>
  <c r="AN24" i="6"/>
  <c r="BA24" i="6"/>
  <c r="AP24" i="6"/>
  <c r="BC24" i="6"/>
  <c r="AR24" i="6"/>
  <c r="AU24" i="6"/>
  <c r="AZ24" i="6"/>
  <c r="BE24" i="6"/>
  <c r="AV24" i="6"/>
  <c r="AQ24" i="6"/>
  <c r="BF24" i="6"/>
  <c r="AB24" i="6"/>
  <c r="AC24" i="6"/>
  <c r="AD24" i="6"/>
  <c r="AE24" i="6"/>
  <c r="AF24" i="6"/>
  <c r="AG24" i="6"/>
  <c r="AH24" i="6"/>
  <c r="AI24" i="6"/>
  <c r="AJ24" i="6"/>
  <c r="AK24" i="6"/>
  <c r="AY23" i="6"/>
  <c r="AH23" i="6"/>
  <c r="AC23" i="6"/>
  <c r="AV23" i="6"/>
  <c r="AD23" i="6"/>
  <c r="AZ23" i="6"/>
  <c r="AT23" i="6"/>
  <c r="BE23" i="6"/>
  <c r="AQ23" i="6"/>
  <c r="AR23" i="6"/>
  <c r="AM23" i="6"/>
  <c r="AP23" i="6"/>
  <c r="BC23" i="6"/>
  <c r="AE23" i="6"/>
  <c r="AO23" i="6"/>
  <c r="AX23" i="6"/>
  <c r="AB23" i="6"/>
  <c r="AK23" i="6"/>
  <c r="BG23" i="6"/>
  <c r="AU23" i="6"/>
  <c r="BF23" i="6"/>
  <c r="BD23" i="6"/>
  <c r="BB23" i="6"/>
  <c r="BA23" i="6"/>
  <c r="AG23" i="6"/>
  <c r="AS23" i="6"/>
  <c r="AJ23" i="6"/>
  <c r="AN23" i="6"/>
  <c r="B19" i="7"/>
  <c r="C20" i="7" a="1"/>
  <c r="C20" i="7" s="1"/>
  <c r="B20" i="9"/>
  <c r="B20" i="10"/>
  <c r="N14" i="12"/>
  <c r="Y14" i="12"/>
  <c r="E14" i="6"/>
  <c r="D14" i="12"/>
  <c r="AC26" i="6" l="1"/>
  <c r="BC26" i="6"/>
  <c r="BF26" i="6"/>
  <c r="AO26" i="6"/>
  <c r="BB26" i="6"/>
  <c r="AZ26" i="6"/>
  <c r="AY26" i="6"/>
  <c r="AK26" i="6"/>
  <c r="BA26" i="6"/>
  <c r="AM26" i="6"/>
  <c r="BG26" i="6"/>
  <c r="BE26" i="6"/>
  <c r="AH26" i="6"/>
  <c r="AD26" i="6"/>
  <c r="AV26" i="6"/>
  <c r="AB26" i="6"/>
  <c r="AP26" i="6"/>
  <c r="AI26" i="6"/>
  <c r="AG26" i="6"/>
  <c r="AE26" i="6"/>
  <c r="AT26" i="6"/>
  <c r="AX26" i="6"/>
  <c r="AN26" i="6"/>
  <c r="AJ26" i="6"/>
  <c r="AR26" i="6"/>
  <c r="AF26" i="6"/>
  <c r="AQ26" i="6"/>
  <c r="AU26" i="6"/>
  <c r="BD26" i="6"/>
  <c r="B20" i="7"/>
  <c r="C21" i="7" a="1"/>
  <c r="C21" i="7" s="1"/>
  <c r="B21" i="9"/>
  <c r="B21" i="10"/>
  <c r="X14" i="12"/>
  <c r="W14" i="12"/>
  <c r="B22" i="10" l="1"/>
  <c r="B22" i="9"/>
  <c r="C22" i="7" a="1"/>
  <c r="C22" i="7" s="1"/>
  <c r="B21" i="7"/>
  <c r="D8" i="9"/>
  <c r="F37" i="8" s="1" a="1"/>
  <c r="F37" i="8" s="1"/>
  <c r="T14" i="12"/>
  <c r="U14" i="12"/>
  <c r="V14" i="12"/>
  <c r="B23" i="10" l="1"/>
  <c r="B23" i="9"/>
  <c r="B22" i="7"/>
  <c r="C23" i="7" a="1"/>
  <c r="C23" i="7" s="1"/>
  <c r="D21" i="2"/>
  <c r="B23" i="7" l="1"/>
  <c r="C24" i="7" a="1"/>
  <c r="C24" i="7" s="1"/>
  <c r="B24" i="9"/>
  <c r="B24" i="10"/>
  <c r="M15" i="12"/>
  <c r="O15" i="12"/>
  <c r="I15" i="12"/>
  <c r="J15" i="12" l="1"/>
  <c r="B25" i="9"/>
  <c r="C25" i="7" a="1"/>
  <c r="C25" i="7" s="1"/>
  <c r="B24" i="7"/>
  <c r="B25" i="10"/>
  <c r="L15" i="12"/>
  <c r="N15" i="12"/>
  <c r="P10" i="12"/>
  <c r="O10" i="12" s="1"/>
  <c r="K15" i="12" l="1"/>
  <c r="B26" i="10"/>
  <c r="B25" i="7"/>
  <c r="C26" i="7" a="1"/>
  <c r="C26" i="7" s="1"/>
  <c r="B26" i="9"/>
  <c r="F15" i="7" a="1"/>
  <c r="F15" i="7" s="1"/>
  <c r="B27" i="9" l="1"/>
  <c r="B27" i="10"/>
  <c r="B26" i="7"/>
  <c r="C27" i="7" a="1"/>
  <c r="C27" i="7" s="1"/>
  <c r="J15" i="7"/>
  <c r="S15" i="7"/>
  <c r="L15" i="7"/>
  <c r="X15" i="7"/>
  <c r="R15" i="7"/>
  <c r="O15" i="7"/>
  <c r="Y15" i="7"/>
  <c r="M15" i="7"/>
  <c r="Q15" i="7"/>
  <c r="P15" i="7"/>
  <c r="V15" i="7"/>
  <c r="K15" i="7"/>
  <c r="U15" i="7"/>
  <c r="W15" i="7"/>
  <c r="T15" i="7"/>
  <c r="I15" i="7"/>
  <c r="N15" i="7"/>
  <c r="B28" i="10" l="1"/>
  <c r="C28" i="7" a="1"/>
  <c r="C28" i="7" s="1"/>
  <c r="B27" i="7"/>
  <c r="B28" i="9"/>
  <c r="H15" i="7"/>
  <c r="E15" i="7"/>
  <c r="B29" i="9" l="1"/>
  <c r="B28" i="7"/>
  <c r="C29" i="7" a="1"/>
  <c r="C29" i="7" s="1"/>
  <c r="B29" i="10"/>
  <c r="S1" i="7" a="1"/>
  <c r="S1" i="7" s="1"/>
  <c r="B30" i="9" l="1"/>
  <c r="B30" i="10"/>
  <c r="C30" i="7" a="1"/>
  <c r="C30" i="7" s="1"/>
  <c r="B29" i="7"/>
  <c r="O1" i="7" a="1"/>
  <c r="O1" i="7" s="1"/>
  <c r="R1" i="7" a="1"/>
  <c r="R1" i="7" s="1"/>
  <c r="V1" i="7" a="1"/>
  <c r="V1" i="7" s="1"/>
  <c r="U1" i="7" a="1"/>
  <c r="U1" i="7" s="1"/>
  <c r="N1" i="7" a="1"/>
  <c r="N1" i="7" s="1"/>
  <c r="Q1" i="7" a="1"/>
  <c r="Q1" i="7" s="1"/>
  <c r="T1" i="7" a="1"/>
  <c r="T1" i="7" s="1"/>
  <c r="M1" i="7" a="1"/>
  <c r="M1" i="7" s="1"/>
  <c r="W1" i="7" a="1"/>
  <c r="W1" i="7" s="1"/>
  <c r="P1" i="7" a="1"/>
  <c r="P1" i="7" s="1"/>
  <c r="X1" i="7" a="1"/>
  <c r="X1" i="7" s="1"/>
  <c r="Y1" i="7" a="1"/>
  <c r="Y1" i="7" s="1"/>
  <c r="C31" i="7" l="1" a="1"/>
  <c r="C31" i="7" s="1"/>
  <c r="B30" i="7"/>
  <c r="B31" i="9"/>
  <c r="B31" i="10"/>
  <c r="B31" i="7" l="1"/>
  <c r="C32" i="7" a="1"/>
  <c r="C32" i="7" s="1"/>
  <c r="B32" i="9"/>
  <c r="B32" i="10"/>
  <c r="B33" i="9" l="1"/>
  <c r="B33" i="10"/>
  <c r="C33" i="7" a="1"/>
  <c r="C33" i="7" s="1"/>
  <c r="B32" i="7"/>
  <c r="A10" i="9"/>
  <c r="C34" i="7" l="1" a="1"/>
  <c r="C34" i="7" s="1"/>
  <c r="B33" i="7"/>
  <c r="B34" i="10"/>
  <c r="B34" i="9"/>
  <c r="K1" i="7" a="1"/>
  <c r="K1" i="7" s="1"/>
  <c r="L1" i="7" a="1"/>
  <c r="L1" i="7" s="1"/>
  <c r="B35" i="10" l="1"/>
  <c r="B34" i="7"/>
  <c r="C35" i="7" a="1"/>
  <c r="C35" i="7" s="1"/>
  <c r="B35" i="9"/>
  <c r="A11" i="12"/>
  <c r="P11" i="12" s="1"/>
  <c r="O11" i="12" s="1"/>
  <c r="B35" i="7" l="1"/>
  <c r="C36" i="7" a="1"/>
  <c r="C36" i="7" s="1"/>
  <c r="B36" i="10"/>
  <c r="B36" i="9"/>
  <c r="J10" i="13"/>
  <c r="B37" i="9" l="1"/>
  <c r="B36" i="7"/>
  <c r="C37" i="7" a="1"/>
  <c r="C37" i="7" s="1"/>
  <c r="B37" i="10"/>
  <c r="AO12" i="13"/>
  <c r="AL12" i="13"/>
  <c r="B38" i="10" l="1"/>
  <c r="B37" i="7"/>
  <c r="C38" i="7" a="1"/>
  <c r="C38" i="7" s="1"/>
  <c r="B38" i="9"/>
  <c r="AN12" i="13"/>
  <c r="AK12" i="13"/>
  <c r="AM12" i="13"/>
  <c r="B38" i="7" l="1"/>
  <c r="C39" i="7" a="1"/>
  <c r="C39" i="7" s="1"/>
  <c r="B39" i="10"/>
  <c r="B39" i="9"/>
  <c r="K14" i="7"/>
  <c r="W14" i="7"/>
  <c r="O14" i="7"/>
  <c r="X14" i="7"/>
  <c r="U14" i="7"/>
  <c r="T14" i="7"/>
  <c r="N14" i="7"/>
  <c r="Y14" i="7"/>
  <c r="L14" i="7"/>
  <c r="R14" i="7"/>
  <c r="P14" i="7"/>
  <c r="Q14" i="7"/>
  <c r="V14" i="7"/>
  <c r="M14" i="7"/>
  <c r="S14" i="7"/>
  <c r="B40" i="10" l="1"/>
  <c r="B40" i="9"/>
  <c r="C40" i="7" a="1"/>
  <c r="C40" i="7" s="1"/>
  <c r="B39" i="7"/>
  <c r="B41" i="10" l="1"/>
  <c r="B41" i="9"/>
  <c r="C41" i="7" a="1"/>
  <c r="C41" i="7" s="1"/>
  <c r="B40" i="7"/>
  <c r="B42" i="9" l="1"/>
  <c r="B42" i="10"/>
  <c r="B41" i="7"/>
  <c r="C42" i="7" a="1"/>
  <c r="C42" i="7" s="1"/>
  <c r="B42" i="7" l="1"/>
  <c r="C43" i="7" a="1"/>
  <c r="C43" i="7" s="1"/>
  <c r="B43" i="10"/>
  <c r="B43" i="9"/>
  <c r="C44" i="7" l="1" a="1"/>
  <c r="C44" i="7" s="1"/>
  <c r="B43" i="7"/>
  <c r="B44" i="9"/>
  <c r="B44" i="10"/>
  <c r="B45" i="10" l="1"/>
  <c r="B44" i="7"/>
  <c r="C45" i="7" a="1"/>
  <c r="C45" i="7" s="1"/>
  <c r="B45" i="9"/>
  <c r="B46" i="9" l="1"/>
  <c r="B46" i="10"/>
  <c r="B45" i="7"/>
  <c r="C46" i="7" a="1"/>
  <c r="C46" i="7" s="1"/>
  <c r="B46" i="7" l="1"/>
  <c r="C47" i="7" a="1"/>
  <c r="C47" i="7" s="1"/>
  <c r="B47" i="9"/>
  <c r="B47" i="10"/>
  <c r="J1" i="7" a="1"/>
  <c r="J1" i="7" s="1"/>
  <c r="I1" i="7" a="1"/>
  <c r="I1" i="7" s="1"/>
  <c r="B48" i="10" l="1"/>
  <c r="B47" i="7"/>
  <c r="C48" i="7" a="1"/>
  <c r="C48" i="7" s="1"/>
  <c r="B48" i="9"/>
  <c r="I14" i="7"/>
  <c r="J14" i="7"/>
  <c r="F1" i="7"/>
  <c r="H1" i="7" a="1"/>
  <c r="H1" i="7" s="1"/>
  <c r="E1" i="7" a="1"/>
  <c r="E1" i="7" s="1"/>
  <c r="C49" i="7" l="1" a="1"/>
  <c r="C49" i="7" s="1"/>
  <c r="B48" i="7"/>
  <c r="B49" i="10"/>
  <c r="B49" i="9"/>
  <c r="F14" i="7"/>
  <c r="Z37" i="8" a="1"/>
  <c r="Z37" i="8" s="1"/>
  <c r="V37" i="8" a="1"/>
  <c r="V37" i="8" s="1"/>
  <c r="E37" i="8" a="1"/>
  <c r="E37" i="8" s="1"/>
  <c r="H14" i="7"/>
  <c r="U37" i="8" a="1"/>
  <c r="U37" i="8" s="1"/>
  <c r="H72" i="9" s="1"/>
  <c r="AD37" i="8" a="1"/>
  <c r="AD37" i="8" s="1"/>
  <c r="AF37" i="8" a="1"/>
  <c r="AF37" i="8" s="1"/>
  <c r="X37" i="8" a="1"/>
  <c r="X37" i="8" s="1"/>
  <c r="AE37" i="8" a="1"/>
  <c r="AE37" i="8" s="1"/>
  <c r="AB72" i="9" s="1"/>
  <c r="AA37" i="8" a="1"/>
  <c r="AA37" i="8" s="1"/>
  <c r="T72" i="9" s="1"/>
  <c r="AC37" i="8" a="1"/>
  <c r="AC37" i="8" s="1"/>
  <c r="X72" i="9" s="1"/>
  <c r="Y37" i="8" a="1"/>
  <c r="Y37" i="8" s="1"/>
  <c r="AB37" i="8" a="1"/>
  <c r="AB37" i="8" s="1"/>
  <c r="W37" i="8" a="1"/>
  <c r="W37" i="8" s="1"/>
  <c r="E14" i="7"/>
  <c r="I74" i="10" a="1"/>
  <c r="I74" i="10" l="1"/>
  <c r="I75" i="10" s="1"/>
  <c r="B50" i="10"/>
  <c r="B49" i="7"/>
  <c r="C50" i="7" a="1"/>
  <c r="C50" i="7" s="1"/>
  <c r="G1" i="7"/>
  <c r="G37" i="7"/>
  <c r="G21" i="7"/>
  <c r="G51" i="7"/>
  <c r="G63" i="7"/>
  <c r="G33" i="7"/>
  <c r="G23" i="7"/>
  <c r="G35" i="7"/>
  <c r="G45" i="7"/>
  <c r="G17" i="7"/>
  <c r="G58" i="7"/>
  <c r="G59" i="7"/>
  <c r="G47" i="7"/>
  <c r="G60" i="7"/>
  <c r="G34" i="7"/>
  <c r="G38" i="7"/>
  <c r="G56" i="7"/>
  <c r="G44" i="7"/>
  <c r="G19" i="7"/>
  <c r="G52" i="7"/>
  <c r="G25" i="7"/>
  <c r="G32" i="7"/>
  <c r="G24" i="7"/>
  <c r="G30" i="7"/>
  <c r="G62" i="7"/>
  <c r="G41" i="7"/>
  <c r="G26" i="7"/>
  <c r="G54" i="7"/>
  <c r="G48" i="7"/>
  <c r="G50" i="7"/>
  <c r="G22" i="7"/>
  <c r="G36" i="7"/>
  <c r="G20" i="7"/>
  <c r="G61" i="7"/>
  <c r="G29" i="7"/>
  <c r="G55" i="7"/>
  <c r="G28" i="7"/>
  <c r="G53" i="7"/>
  <c r="G46" i="7"/>
  <c r="G43" i="7"/>
  <c r="G31" i="7"/>
  <c r="G49" i="7"/>
  <c r="G39" i="7"/>
  <c r="G40" i="7"/>
  <c r="G18" i="7"/>
  <c r="G16" i="7"/>
  <c r="G64" i="7"/>
  <c r="G57" i="7"/>
  <c r="G42" i="7"/>
  <c r="G27" i="7"/>
  <c r="B50" i="9"/>
  <c r="AD72" i="9"/>
  <c r="Z72" i="9"/>
  <c r="L72" i="9"/>
  <c r="J72" i="9"/>
  <c r="V72" i="9"/>
  <c r="R72" i="9"/>
  <c r="N72" i="9"/>
  <c r="P72" i="9"/>
  <c r="F6" i="7"/>
  <c r="B51" i="9" l="1"/>
  <c r="B51" i="10"/>
  <c r="C51" i="7" a="1"/>
  <c r="C51" i="7" s="1"/>
  <c r="B50" i="7"/>
  <c r="B51" i="7" l="1"/>
  <c r="C52" i="7" a="1"/>
  <c r="C52" i="7" s="1"/>
  <c r="B52" i="10"/>
  <c r="B52" i="9"/>
  <c r="B53" i="9" l="1"/>
  <c r="B53" i="10"/>
  <c r="B52" i="7"/>
  <c r="C53" i="7" a="1"/>
  <c r="C53" i="7" s="1"/>
  <c r="B53" i="7" l="1"/>
  <c r="C54" i="7" a="1"/>
  <c r="C54" i="7" s="1"/>
  <c r="B54" i="10"/>
  <c r="B54" i="9"/>
  <c r="D1" i="2"/>
  <c r="B55" i="9" l="1"/>
  <c r="B55" i="10"/>
  <c r="C55" i="7" a="1"/>
  <c r="C55" i="7" s="1"/>
  <c r="B54" i="7"/>
  <c r="B56" i="10" l="1"/>
  <c r="B56" i="9"/>
  <c r="B55" i="7"/>
  <c r="C56" i="7" a="1"/>
  <c r="C56" i="7" s="1"/>
  <c r="B57" i="10" l="1"/>
  <c r="B57" i="9"/>
  <c r="B56" i="7"/>
  <c r="C57" i="7" a="1"/>
  <c r="C57" i="7" s="1"/>
  <c r="B58" i="10" l="1"/>
  <c r="B58" i="9"/>
  <c r="C58" i="7" a="1"/>
  <c r="C58" i="7" s="1"/>
  <c r="B57" i="7"/>
  <c r="B59" i="10" l="1"/>
  <c r="B58" i="7"/>
  <c r="C59" i="7" a="1"/>
  <c r="C59" i="7" s="1"/>
  <c r="B59" i="9"/>
  <c r="B60" i="9" l="1"/>
  <c r="C60" i="7" a="1"/>
  <c r="C60" i="7" s="1"/>
  <c r="B59" i="7"/>
  <c r="B60" i="10"/>
  <c r="C61" i="7" l="1" a="1"/>
  <c r="C61" i="7" s="1"/>
  <c r="B60" i="7"/>
  <c r="B61" i="9"/>
  <c r="B61" i="10"/>
  <c r="V38" i="8"/>
  <c r="U38" i="8"/>
  <c r="B62" i="9" l="1"/>
  <c r="B62" i="10"/>
  <c r="B61" i="7"/>
  <c r="C62" i="7" a="1"/>
  <c r="C62" i="7" s="1"/>
  <c r="W38" i="8"/>
  <c r="C63" i="7" l="1" a="1"/>
  <c r="C63" i="7" s="1"/>
  <c r="B62" i="7"/>
  <c r="B63" i="9"/>
  <c r="B63" i="10"/>
  <c r="X38" i="8"/>
  <c r="B64" i="10" l="1"/>
  <c r="C64" i="7" a="1"/>
  <c r="C64" i="7" s="1"/>
  <c r="B63" i="7"/>
  <c r="B64" i="9"/>
  <c r="Y38" i="8"/>
  <c r="B64" i="7" l="1"/>
  <c r="C10" i="7"/>
  <c r="AA38" i="8" l="1"/>
  <c r="AC38" i="8" l="1"/>
  <c r="AD38" i="8" l="1"/>
  <c r="AE38" i="8" l="1"/>
  <c r="A5" i="5" l="1"/>
  <c r="B18" i="11"/>
  <c r="J17" i="5" l="1"/>
  <c r="K17" i="5"/>
  <c r="B17" i="11"/>
  <c r="B20" i="11"/>
  <c r="B16" i="11"/>
  <c r="A12" i="13"/>
  <c r="B12" i="11"/>
  <c r="J16" i="5"/>
  <c r="F14" i="8"/>
  <c r="F15" i="8" s="1"/>
  <c r="O18" i="11"/>
  <c r="K18" i="11"/>
  <c r="J18" i="13" s="1"/>
  <c r="G18" i="11"/>
  <c r="F18" i="13" s="1"/>
  <c r="AB18" i="11"/>
  <c r="N18" i="11" s="1"/>
  <c r="AA18" i="11"/>
  <c r="C18" i="13"/>
  <c r="A17" i="13"/>
  <c r="B15" i="11"/>
  <c r="A15" i="13"/>
  <c r="F17" i="8"/>
  <c r="F18" i="8" s="1"/>
  <c r="B22" i="11"/>
  <c r="B19" i="11"/>
  <c r="A16" i="13"/>
  <c r="A18" i="13"/>
  <c r="A23" i="13"/>
  <c r="A20" i="13"/>
  <c r="B21" i="11"/>
  <c r="A22" i="13"/>
  <c r="K16" i="5"/>
  <c r="F23" i="8"/>
  <c r="F20" i="8"/>
  <c r="A19" i="13"/>
  <c r="B23" i="11"/>
  <c r="A21" i="13"/>
  <c r="F1" i="8"/>
  <c r="F2" i="8" s="1"/>
  <c r="D17" i="5" l="1"/>
  <c r="B17" i="12" s="1"/>
  <c r="D16" i="5"/>
  <c r="B16" i="12" s="1"/>
  <c r="B22" i="13"/>
  <c r="M17" i="8"/>
  <c r="S19" i="8" s="1"/>
  <c r="J17" i="8"/>
  <c r="B18" i="13"/>
  <c r="O12" i="11"/>
  <c r="AA12" i="11"/>
  <c r="C12" i="13"/>
  <c r="K12" i="11"/>
  <c r="J12" i="13" s="1"/>
  <c r="G12" i="11"/>
  <c r="F12" i="13" s="1"/>
  <c r="AB12" i="11"/>
  <c r="N12" i="11" s="1"/>
  <c r="B16" i="13"/>
  <c r="C18" i="11"/>
  <c r="Z18" i="11"/>
  <c r="L18" i="13"/>
  <c r="D18" i="13" s="1"/>
  <c r="P18" i="11"/>
  <c r="O15" i="11"/>
  <c r="G15" i="11"/>
  <c r="F15" i="13" s="1"/>
  <c r="C15" i="13"/>
  <c r="K15" i="11"/>
  <c r="J15" i="13" s="1"/>
  <c r="AB15" i="11"/>
  <c r="N15" i="11" s="1"/>
  <c r="AA15" i="11"/>
  <c r="F10" i="8" a="1"/>
  <c r="F10" i="8" s="1"/>
  <c r="J14" i="8"/>
  <c r="M14" i="8"/>
  <c r="G16" i="11"/>
  <c r="F16" i="13" s="1"/>
  <c r="AB16" i="11"/>
  <c r="N16" i="11" s="1"/>
  <c r="AA16" i="11"/>
  <c r="K16" i="11"/>
  <c r="J16" i="13" s="1"/>
  <c r="C16" i="13"/>
  <c r="O16" i="11"/>
  <c r="B12" i="13"/>
  <c r="O23" i="11"/>
  <c r="K23" i="11"/>
  <c r="J23" i="13" s="1"/>
  <c r="G23" i="11"/>
  <c r="F23" i="13" s="1"/>
  <c r="C23" i="13"/>
  <c r="AA23" i="11"/>
  <c r="AB23" i="11"/>
  <c r="N23" i="11" s="1"/>
  <c r="AA20" i="11"/>
  <c r="G20" i="11"/>
  <c r="F20" i="13" s="1"/>
  <c r="AB20" i="11"/>
  <c r="N20" i="11" s="1"/>
  <c r="K20" i="11"/>
  <c r="J20" i="13" s="1"/>
  <c r="C20" i="13"/>
  <c r="O20" i="11"/>
  <c r="B15" i="13"/>
  <c r="B19" i="13"/>
  <c r="C17" i="13"/>
  <c r="O17" i="11"/>
  <c r="G17" i="11"/>
  <c r="F17" i="13" s="1"/>
  <c r="K17" i="11"/>
  <c r="J17" i="13" s="1"/>
  <c r="AB17" i="11"/>
  <c r="N17" i="11" s="1"/>
  <c r="AA17" i="11"/>
  <c r="K21" i="11"/>
  <c r="J21" i="13" s="1"/>
  <c r="AB21" i="11"/>
  <c r="N21" i="11" s="1"/>
  <c r="AA21" i="11"/>
  <c r="C21" i="13"/>
  <c r="O21" i="11"/>
  <c r="G21" i="11"/>
  <c r="F21" i="13" s="1"/>
  <c r="O1" i="8"/>
  <c r="I1" i="8"/>
  <c r="J1" i="8"/>
  <c r="M1" i="8"/>
  <c r="S1" i="8"/>
  <c r="G1" i="8" s="1"/>
  <c r="G2" i="8" s="1" a="1"/>
  <c r="G2" i="8" s="1"/>
  <c r="N1" i="8"/>
  <c r="Q1" i="8"/>
  <c r="P1" i="8"/>
  <c r="B20" i="13"/>
  <c r="O19" i="11"/>
  <c r="G19" i="11"/>
  <c r="F19" i="13" s="1"/>
  <c r="C19" i="13"/>
  <c r="K19" i="11"/>
  <c r="J19" i="13" s="1"/>
  <c r="AA19" i="11"/>
  <c r="AB19" i="11"/>
  <c r="N19" i="11" s="1"/>
  <c r="B23" i="13"/>
  <c r="C22" i="13"/>
  <c r="G22" i="11"/>
  <c r="F22" i="13" s="1"/>
  <c r="AA22" i="11"/>
  <c r="AB22" i="11"/>
  <c r="N22" i="11" s="1"/>
  <c r="K22" i="11"/>
  <c r="J22" i="13" s="1"/>
  <c r="O22" i="11"/>
  <c r="B17" i="13"/>
  <c r="R18" i="13"/>
  <c r="S18" i="13"/>
  <c r="U18" i="13"/>
  <c r="T18" i="13"/>
  <c r="O18" i="13"/>
  <c r="M18" i="13"/>
  <c r="B21" i="13"/>
  <c r="AF18" i="13"/>
  <c r="AC20" i="13"/>
  <c r="K18" i="13"/>
  <c r="AD15" i="13"/>
  <c r="AJ12" i="13"/>
  <c r="AG16" i="13"/>
  <c r="AF22" i="13"/>
  <c r="AC17" i="13"/>
  <c r="AC21" i="13"/>
  <c r="AC19" i="13"/>
  <c r="AC23" i="13"/>
  <c r="D15" i="5" l="1"/>
  <c r="B14" i="13"/>
  <c r="F21" i="8"/>
  <c r="P17" i="8"/>
  <c r="Q14" i="8"/>
  <c r="U19" i="13"/>
  <c r="S19" i="13"/>
  <c r="O19" i="13"/>
  <c r="R19" i="13"/>
  <c r="M19" i="13"/>
  <c r="T19" i="13"/>
  <c r="M15" i="13"/>
  <c r="U15" i="13"/>
  <c r="T15" i="13"/>
  <c r="S15" i="13"/>
  <c r="R15" i="13"/>
  <c r="O15" i="13"/>
  <c r="S17" i="13"/>
  <c r="T17" i="13"/>
  <c r="U17" i="13"/>
  <c r="R17" i="13"/>
  <c r="O17" i="13"/>
  <c r="M17" i="13"/>
  <c r="P23" i="11"/>
  <c r="Z23" i="11"/>
  <c r="L23" i="13"/>
  <c r="D23" i="13" s="1"/>
  <c r="C23" i="11"/>
  <c r="L17" i="13"/>
  <c r="D17" i="13" s="1"/>
  <c r="C17" i="11"/>
  <c r="P17" i="11"/>
  <c r="Z17" i="11"/>
  <c r="L20" i="13"/>
  <c r="D20" i="13" s="1"/>
  <c r="C20" i="11"/>
  <c r="P20" i="11"/>
  <c r="Z20" i="11"/>
  <c r="L15" i="13"/>
  <c r="D15" i="13" s="1"/>
  <c r="C15" i="11"/>
  <c r="P15" i="11"/>
  <c r="Z15" i="11"/>
  <c r="Q17" i="8"/>
  <c r="L21" i="13"/>
  <c r="D21" i="13" s="1"/>
  <c r="Z21" i="11"/>
  <c r="P21" i="11"/>
  <c r="C21" i="11"/>
  <c r="U20" i="13"/>
  <c r="O20" i="13"/>
  <c r="S20" i="13"/>
  <c r="R20" i="13"/>
  <c r="M20" i="13"/>
  <c r="T20" i="13"/>
  <c r="M21" i="13"/>
  <c r="S21" i="13"/>
  <c r="R21" i="13"/>
  <c r="U21" i="13"/>
  <c r="T21" i="13"/>
  <c r="O21" i="13"/>
  <c r="A14" i="8"/>
  <c r="S16" i="8"/>
  <c r="R12" i="13"/>
  <c r="T12" i="13"/>
  <c r="M12" i="13"/>
  <c r="S12" i="13"/>
  <c r="U12" i="13"/>
  <c r="O12" i="13"/>
  <c r="C22" i="11"/>
  <c r="Z22" i="11"/>
  <c r="L22" i="13"/>
  <c r="D22" i="13" s="1"/>
  <c r="P22" i="11"/>
  <c r="N18" i="13"/>
  <c r="P18" i="13"/>
  <c r="P14" i="8"/>
  <c r="L12" i="13"/>
  <c r="C12" i="11"/>
  <c r="Z12" i="11"/>
  <c r="P12" i="11"/>
  <c r="O14" i="8"/>
  <c r="U22" i="13"/>
  <c r="T22" i="13"/>
  <c r="S22" i="13"/>
  <c r="R22" i="13"/>
  <c r="M22" i="13"/>
  <c r="O22" i="13"/>
  <c r="P19" i="11"/>
  <c r="C19" i="11"/>
  <c r="L19" i="13"/>
  <c r="D19" i="13" s="1"/>
  <c r="Z19" i="11"/>
  <c r="H2" i="8" a="1"/>
  <c r="H2" i="8" s="1"/>
  <c r="H1" i="8" a="1"/>
  <c r="H1" i="8" s="1"/>
  <c r="J2" i="8" s="1"/>
  <c r="Z16" i="11"/>
  <c r="P16" i="11"/>
  <c r="L16" i="13"/>
  <c r="D16" i="13" s="1"/>
  <c r="C16" i="11"/>
  <c r="R1" i="8"/>
  <c r="A1" i="8"/>
  <c r="S3" i="8"/>
  <c r="U23" i="13"/>
  <c r="T23" i="13"/>
  <c r="S23" i="13"/>
  <c r="R23" i="13"/>
  <c r="M23" i="13"/>
  <c r="O23" i="13"/>
  <c r="S16" i="13"/>
  <c r="R16" i="13"/>
  <c r="M16" i="13"/>
  <c r="O16" i="13"/>
  <c r="U16" i="13"/>
  <c r="T16" i="13"/>
  <c r="AC16" i="13"/>
  <c r="AC15" i="13"/>
  <c r="AH20" i="13"/>
  <c r="AE17" i="13"/>
  <c r="AD21" i="13"/>
  <c r="AD19" i="13"/>
  <c r="AE23" i="13"/>
  <c r="AE18" i="13"/>
  <c r="AE21" i="13"/>
  <c r="AG19" i="13"/>
  <c r="AH18" i="13"/>
  <c r="AG23" i="13"/>
  <c r="AD22" i="13"/>
  <c r="AC18" i="13"/>
  <c r="AG22" i="13"/>
  <c r="AD18" i="13"/>
  <c r="AE12" i="13"/>
  <c r="AD17" i="13"/>
  <c r="K21" i="13"/>
  <c r="AF12" i="13"/>
  <c r="AG15" i="13"/>
  <c r="AH22" i="13"/>
  <c r="AG17" i="13"/>
  <c r="AD12" i="13"/>
  <c r="AF17" i="13"/>
  <c r="K22" i="13"/>
  <c r="AD16" i="13"/>
  <c r="K17" i="13"/>
  <c r="AF20" i="13"/>
  <c r="AG18" i="13"/>
  <c r="AF16" i="13"/>
  <c r="K12" i="13"/>
  <c r="AE16" i="13"/>
  <c r="AH16" i="13"/>
  <c r="AD20" i="13"/>
  <c r="AF19" i="13"/>
  <c r="AH23" i="13"/>
  <c r="AF23" i="13"/>
  <c r="AH21" i="13"/>
  <c r="AH17" i="13"/>
  <c r="AH15" i="13"/>
  <c r="K16" i="13"/>
  <c r="AF15" i="13"/>
  <c r="AD23" i="13"/>
  <c r="AH19" i="13"/>
  <c r="K20" i="13"/>
  <c r="K15" i="13"/>
  <c r="AH12" i="13"/>
  <c r="AE20" i="13"/>
  <c r="AG20" i="13"/>
  <c r="AE19" i="13"/>
  <c r="AE15" i="13"/>
  <c r="AC12" i="13"/>
  <c r="K19" i="13"/>
  <c r="AG12" i="13"/>
  <c r="AE22" i="13"/>
  <c r="K23" i="13"/>
  <c r="AG21" i="13"/>
  <c r="AF21" i="13"/>
  <c r="AC22" i="13"/>
  <c r="J20" i="8" l="1"/>
  <c r="M20" i="8"/>
  <c r="P20" i="8" s="1"/>
  <c r="P22" i="13"/>
  <c r="N22" i="13"/>
  <c r="P17" i="13"/>
  <c r="N17" i="13"/>
  <c r="N16" i="13"/>
  <c r="P16" i="13"/>
  <c r="N12" i="13"/>
  <c r="P12" i="13"/>
  <c r="V12" i="13"/>
  <c r="D12" i="13"/>
  <c r="AA3" i="8" a="1"/>
  <c r="AA3" i="8" s="1"/>
  <c r="AC3" i="8" a="1"/>
  <c r="AC3" i="8" s="1"/>
  <c r="F3" i="8"/>
  <c r="AD1" i="8" a="1"/>
  <c r="AD1" i="8" s="1"/>
  <c r="E1" i="8" a="1"/>
  <c r="E1" i="8" s="1"/>
  <c r="Z1" i="8" a="1"/>
  <c r="Z1" i="8" s="1"/>
  <c r="Y3" i="8" a="1"/>
  <c r="Y3" i="8" s="1"/>
  <c r="V3" i="8" a="1"/>
  <c r="V3" i="8" s="1"/>
  <c r="X3" i="8" a="1"/>
  <c r="X3" i="8" s="1"/>
  <c r="AA1" i="8" a="1"/>
  <c r="AA1" i="8" s="1"/>
  <c r="U3" i="8" a="1"/>
  <c r="U3" i="8" s="1"/>
  <c r="W1" i="8" a="1"/>
  <c r="W1" i="8" s="1"/>
  <c r="X1" i="8" a="1"/>
  <c r="X1" i="8" s="1"/>
  <c r="V1" i="8" a="1"/>
  <c r="V1" i="8" s="1"/>
  <c r="AD3" i="8" a="1"/>
  <c r="AD3" i="8" s="1"/>
  <c r="E3" i="8" a="1"/>
  <c r="E3" i="8" s="1"/>
  <c r="AC1" i="8" a="1"/>
  <c r="AC1" i="8" s="1"/>
  <c r="AE3" i="8" a="1"/>
  <c r="AE3" i="8" s="1"/>
  <c r="AB3" i="8" a="1"/>
  <c r="AB3" i="8" s="1"/>
  <c r="AE1" i="8" a="1"/>
  <c r="AE1" i="8" s="1"/>
  <c r="U1" i="8" a="1"/>
  <c r="U1" i="8" s="1"/>
  <c r="Z3" i="8" a="1"/>
  <c r="Z3" i="8" s="1"/>
  <c r="D1" i="8"/>
  <c r="C1" i="8"/>
  <c r="W3" i="8" a="1"/>
  <c r="W3" i="8" s="1"/>
  <c r="Y1" i="8" a="1"/>
  <c r="Y1" i="8" s="1"/>
  <c r="AB1" i="8" a="1"/>
  <c r="AB1" i="8" s="1"/>
  <c r="AF1" i="8" a="1"/>
  <c r="AF1" i="8" s="1"/>
  <c r="AF3" i="8" a="1"/>
  <c r="AF3" i="8" s="1"/>
  <c r="N23" i="13"/>
  <c r="P23" i="13"/>
  <c r="N20" i="13"/>
  <c r="P20" i="13"/>
  <c r="N15" i="13"/>
  <c r="P15" i="13"/>
  <c r="P19" i="13"/>
  <c r="N19" i="13"/>
  <c r="N21" i="13"/>
  <c r="P21" i="13"/>
  <c r="F24" i="8" l="1"/>
  <c r="J23" i="8" s="1"/>
  <c r="S22" i="8"/>
  <c r="Q20" i="8"/>
  <c r="A20" i="8"/>
  <c r="M23" i="8" l="1"/>
  <c r="A23" i="8"/>
  <c r="P23" i="8" l="1"/>
  <c r="S25" i="8"/>
  <c r="Q23" i="8"/>
  <c r="N17" i="8" l="1"/>
  <c r="N20" i="8"/>
  <c r="N23" i="8"/>
  <c r="N14" i="8"/>
  <c r="R14" i="8" s="1"/>
  <c r="C14" i="8" l="1"/>
  <c r="F16" i="8"/>
  <c r="D14" i="8"/>
  <c r="A16" i="10" l="1"/>
  <c r="A17" i="9"/>
  <c r="A16" i="9"/>
  <c r="C16" i="9"/>
  <c r="F16" i="9" s="1"/>
  <c r="C16" i="10"/>
  <c r="C18" i="9"/>
  <c r="F18" i="9" s="1"/>
  <c r="A18" i="10"/>
  <c r="C20" i="9"/>
  <c r="F20" i="9" s="1"/>
  <c r="C17" i="9"/>
  <c r="F17" i="9" s="1"/>
  <c r="C18" i="10"/>
  <c r="A17" i="10"/>
  <c r="C17" i="10"/>
  <c r="C19" i="10"/>
  <c r="A18" i="9"/>
  <c r="C21" i="10"/>
  <c r="A19" i="9"/>
  <c r="C21" i="9"/>
  <c r="F21" i="9" s="1"/>
  <c r="C19" i="9"/>
  <c r="F19" i="9" s="1"/>
  <c r="A20" i="9"/>
  <c r="A20" i="10"/>
  <c r="A19" i="10"/>
  <c r="A21" i="10"/>
  <c r="C22" i="10"/>
  <c r="C20" i="10"/>
  <c r="A24" i="9"/>
  <c r="C22" i="9"/>
  <c r="F22" i="9" s="1"/>
  <c r="A21" i="9"/>
  <c r="C23" i="10"/>
  <c r="A22" i="9"/>
  <c r="A23" i="9"/>
  <c r="A23" i="10"/>
  <c r="A22" i="10"/>
  <c r="C23" i="9"/>
  <c r="F23" i="9" s="1"/>
  <c r="A25" i="9"/>
  <c r="C24" i="9"/>
  <c r="F24" i="9" s="1"/>
  <c r="A24" i="10"/>
  <c r="C25" i="10"/>
  <c r="A25" i="10"/>
  <c r="C25" i="9"/>
  <c r="F25" i="9" s="1"/>
  <c r="C24" i="10"/>
  <c r="C26" i="10"/>
  <c r="A26" i="10"/>
  <c r="A29" i="10"/>
  <c r="C27" i="10"/>
  <c r="A28" i="10"/>
  <c r="A26" i="9"/>
  <c r="C26" i="9"/>
  <c r="F26" i="9" s="1"/>
  <c r="A27" i="10"/>
  <c r="A27" i="9"/>
  <c r="C27" i="9"/>
  <c r="F27" i="9" s="1"/>
  <c r="A28" i="9"/>
  <c r="C28" i="10"/>
  <c r="C28" i="9"/>
  <c r="F28" i="9" s="1"/>
  <c r="C30" i="9"/>
  <c r="F30" i="9" s="1"/>
  <c r="A30" i="9"/>
  <c r="C29" i="9"/>
  <c r="F29" i="9" s="1"/>
  <c r="A30" i="10"/>
  <c r="A29" i="9"/>
  <c r="C29" i="10"/>
  <c r="A32" i="9"/>
  <c r="C33" i="9"/>
  <c r="F33" i="9" s="1"/>
  <c r="C32" i="9"/>
  <c r="F32" i="9" s="1"/>
  <c r="C32" i="10"/>
  <c r="C30" i="10"/>
  <c r="C31" i="9"/>
  <c r="F31" i="9" s="1"/>
  <c r="A34" i="9"/>
  <c r="C34" i="9"/>
  <c r="F34" i="9" s="1"/>
  <c r="A32" i="10"/>
  <c r="A31" i="10"/>
  <c r="C33" i="10"/>
  <c r="C31" i="10"/>
  <c r="A31" i="9"/>
  <c r="A36" i="9"/>
  <c r="A34" i="10"/>
  <c r="A35" i="10"/>
  <c r="A33" i="10"/>
  <c r="A33" i="9"/>
  <c r="C35" i="10"/>
  <c r="C34" i="10"/>
  <c r="A36" i="10"/>
  <c r="A35" i="9"/>
  <c r="C35" i="9"/>
  <c r="F35" i="9" s="1"/>
  <c r="C37" i="10"/>
  <c r="C36" i="10"/>
  <c r="C36" i="9"/>
  <c r="F36" i="9" s="1"/>
  <c r="A37" i="10"/>
  <c r="A40" i="10"/>
  <c r="A37" i="9"/>
  <c r="C38" i="9"/>
  <c r="F38" i="9" s="1"/>
  <c r="C37" i="9"/>
  <c r="F37" i="9" s="1"/>
  <c r="A38" i="9"/>
  <c r="A39" i="10"/>
  <c r="C39" i="10"/>
  <c r="C40" i="9"/>
  <c r="F40" i="9" s="1"/>
  <c r="A38" i="10"/>
  <c r="C38" i="10"/>
  <c r="A40" i="9"/>
  <c r="A39" i="9"/>
  <c r="A42" i="10"/>
  <c r="C41" i="10"/>
  <c r="C39" i="9"/>
  <c r="F39" i="9" s="1"/>
  <c r="C41" i="9"/>
  <c r="F41" i="9" s="1"/>
  <c r="C40" i="10"/>
  <c r="A41" i="9"/>
  <c r="A41" i="10"/>
  <c r="A42" i="9"/>
  <c r="C44" i="10"/>
  <c r="C42" i="10"/>
  <c r="C42" i="9"/>
  <c r="F42" i="9" s="1"/>
  <c r="A43" i="10"/>
  <c r="C43" i="10"/>
  <c r="A44" i="9"/>
  <c r="A43" i="9"/>
  <c r="A44" i="10"/>
  <c r="C43" i="9"/>
  <c r="F43" i="9" s="1"/>
  <c r="A47" i="10"/>
  <c r="A45" i="10"/>
  <c r="C45" i="10"/>
  <c r="C44" i="9"/>
  <c r="F44" i="9" s="1"/>
  <c r="C45" i="9"/>
  <c r="F45" i="9" s="1"/>
  <c r="A45" i="9"/>
  <c r="C46" i="10"/>
  <c r="A46" i="10"/>
  <c r="A47" i="9"/>
  <c r="A48" i="9"/>
  <c r="C46" i="9"/>
  <c r="F46" i="9" s="1"/>
  <c r="A46" i="9"/>
  <c r="A49" i="9"/>
  <c r="A15" i="9"/>
  <c r="C48" i="10"/>
  <c r="C49" i="10"/>
  <c r="C47" i="9"/>
  <c r="F47" i="9" s="1"/>
  <c r="C47" i="10"/>
  <c r="A49" i="10"/>
  <c r="A48" i="10"/>
  <c r="C48" i="9"/>
  <c r="F48" i="9" s="1"/>
  <c r="A1" i="9"/>
  <c r="M12" i="6" a="1"/>
  <c r="M12" i="6" s="1"/>
  <c r="A52" i="9"/>
  <c r="C50" i="10"/>
  <c r="A50" i="10"/>
  <c r="A50" i="9"/>
  <c r="C50" i="9"/>
  <c r="F50" i="9" s="1"/>
  <c r="A51" i="10"/>
  <c r="C49" i="9"/>
  <c r="F49" i="9" s="1"/>
  <c r="C1" i="9"/>
  <c r="F1" i="9" s="1"/>
  <c r="A1" i="10"/>
  <c r="C1" i="10"/>
  <c r="C51" i="10"/>
  <c r="C54" i="9"/>
  <c r="F54" i="9" s="1"/>
  <c r="C51" i="9"/>
  <c r="F51" i="9" s="1"/>
  <c r="A51" i="9"/>
  <c r="A53" i="9"/>
  <c r="C53" i="10"/>
  <c r="C52" i="9"/>
  <c r="F52" i="9" s="1"/>
  <c r="A54" i="9"/>
  <c r="C53" i="9"/>
  <c r="F53" i="9" s="1"/>
  <c r="A52" i="10"/>
  <c r="A53" i="10"/>
  <c r="C52" i="10"/>
  <c r="C54" i="10"/>
  <c r="A55" i="9"/>
  <c r="C56" i="10"/>
  <c r="A55" i="10"/>
  <c r="A54" i="10"/>
  <c r="C55" i="10"/>
  <c r="C56" i="9"/>
  <c r="F56" i="9" s="1"/>
  <c r="A56" i="9"/>
  <c r="C55" i="9"/>
  <c r="F55" i="9" s="1"/>
  <c r="A56" i="10"/>
  <c r="A60" i="10"/>
  <c r="C57" i="9"/>
  <c r="F57" i="9" s="1"/>
  <c r="A57" i="10"/>
  <c r="A57" i="9"/>
  <c r="C57" i="10"/>
  <c r="A61" i="9"/>
  <c r="A58" i="9"/>
  <c r="A59" i="9"/>
  <c r="C58" i="10"/>
  <c r="C59" i="10"/>
  <c r="C60" i="10"/>
  <c r="A59" i="10"/>
  <c r="A58" i="10"/>
  <c r="C58" i="9"/>
  <c r="F58" i="9" s="1"/>
  <c r="C61" i="9"/>
  <c r="F61" i="9" s="1"/>
  <c r="A60" i="9"/>
  <c r="C61" i="10"/>
  <c r="C59" i="9"/>
  <c r="F59" i="9" s="1"/>
  <c r="A61" i="10"/>
  <c r="C62" i="9"/>
  <c r="F62" i="9" s="1"/>
  <c r="C60" i="9"/>
  <c r="F60" i="9" s="1"/>
  <c r="A64" i="9"/>
  <c r="A62" i="10"/>
  <c r="A62" i="9"/>
  <c r="C64" i="10"/>
  <c r="A63" i="9"/>
  <c r="C62" i="10"/>
  <c r="C63" i="10"/>
  <c r="A64" i="10"/>
  <c r="C64" i="9"/>
  <c r="F64" i="9" s="1"/>
  <c r="C63" i="9"/>
  <c r="F63" i="9" s="1"/>
  <c r="A63" i="10"/>
  <c r="AG15" i="6"/>
  <c r="V15" i="6" s="1"/>
  <c r="V11" i="6" s="1"/>
  <c r="AK15" i="6"/>
  <c r="Z15" i="6" s="1"/>
  <c r="Z11" i="6" s="1"/>
  <c r="AF15" i="6"/>
  <c r="U15" i="6" s="1"/>
  <c r="U11" i="6" s="1"/>
  <c r="AJ15" i="6"/>
  <c r="Y15" i="6" s="1"/>
  <c r="Y11" i="6" s="1"/>
  <c r="AD15" i="6"/>
  <c r="S15" i="6" s="1"/>
  <c r="S11" i="6" s="1"/>
  <c r="AH15" i="6"/>
  <c r="W15" i="6" s="1"/>
  <c r="W11" i="6" s="1"/>
  <c r="AC15" i="6"/>
  <c r="R15" i="6" s="1"/>
  <c r="R11" i="6" s="1"/>
  <c r="AE15" i="6"/>
  <c r="T15" i="6" s="1"/>
  <c r="T11" i="6" s="1"/>
  <c r="AI15" i="6"/>
  <c r="X15" i="6" s="1"/>
  <c r="X11" i="6" s="1"/>
  <c r="M73" i="10" l="1" a="1"/>
  <c r="M73" i="10" s="1"/>
  <c r="O73" i="10" a="1"/>
  <c r="O73" i="10" s="1"/>
  <c r="AE73" i="10" a="1"/>
  <c r="AE73" i="10" s="1"/>
  <c r="W73" i="10" a="1"/>
  <c r="W73" i="10" s="1"/>
  <c r="U73" i="10" a="1"/>
  <c r="U73" i="10" s="1"/>
  <c r="Y73" i="10" a="1"/>
  <c r="Y73" i="10" s="1"/>
  <c r="AC73" i="10" a="1"/>
  <c r="AC73" i="10" s="1"/>
  <c r="S73" i="10" a="1"/>
  <c r="S73" i="10" s="1"/>
  <c r="I73" i="10" a="1"/>
  <c r="I73" i="10" s="1"/>
  <c r="AA73" i="10" a="1"/>
  <c r="AA73" i="10" s="1"/>
  <c r="K73" i="10" a="1"/>
  <c r="K73" i="10" s="1"/>
  <c r="Q73" i="10" a="1"/>
  <c r="Q73" i="10" s="1"/>
  <c r="AB15" i="6"/>
  <c r="Q15" i="6" s="1"/>
  <c r="Q11" i="6" s="1"/>
  <c r="AH14" i="13"/>
  <c r="AE14" i="13"/>
  <c r="J21" i="6" l="1" a="1"/>
  <c r="J21" i="6" s="1"/>
  <c r="J25" i="6" a="1"/>
  <c r="J25" i="6" s="1"/>
  <c r="M14" i="13"/>
  <c r="M28" i="13" s="1"/>
  <c r="O14" i="13"/>
  <c r="O28" i="13" s="1"/>
  <c r="M71" i="10"/>
  <c r="Q71" i="10"/>
  <c r="K71" i="10"/>
  <c r="O71" i="10"/>
  <c r="AA71" i="10"/>
  <c r="I71" i="10" a="1"/>
  <c r="I71" i="10" s="1"/>
  <c r="S71" i="10"/>
  <c r="AC71" i="10"/>
  <c r="Y71" i="10"/>
  <c r="U71" i="10"/>
  <c r="W71" i="10"/>
  <c r="AE71" i="10"/>
  <c r="N14" i="13" l="1"/>
  <c r="D53" i="2"/>
  <c r="N28" i="13"/>
  <c r="D54" i="2"/>
  <c r="D47" i="2"/>
  <c r="F33" i="14"/>
  <c r="D48" i="2"/>
  <c r="D52" i="2"/>
  <c r="AD6" i="13"/>
  <c r="AE6" i="13" s="1"/>
  <c r="D51" i="2"/>
  <c r="D46" i="2" l="1"/>
  <c r="E33" i="14"/>
  <c r="D50" i="2"/>
  <c r="S77" i="10" l="1"/>
  <c r="J37" i="12"/>
  <c r="C11" i="10"/>
  <c r="AF14" i="13"/>
  <c r="AD14" i="13"/>
  <c r="AC14" i="13"/>
  <c r="AG14" i="13"/>
  <c r="A17" i="8"/>
  <c r="U14" i="13" l="1"/>
  <c r="AD4" i="13" s="1"/>
  <c r="T14" i="13"/>
  <c r="AD3" i="13" s="1"/>
  <c r="R14" i="13"/>
  <c r="M26" i="13" s="1"/>
  <c r="S14" i="13"/>
  <c r="M27" i="13" s="1"/>
  <c r="AE4" i="13" l="1"/>
  <c r="O27" i="13" s="1"/>
  <c r="M25" i="13"/>
  <c r="AD2" i="13"/>
  <c r="AD27" i="13" l="1"/>
  <c r="AC27" i="13"/>
  <c r="N27" i="13"/>
  <c r="F32" i="14"/>
  <c r="E32" i="14" l="1"/>
  <c r="AE3" i="13"/>
  <c r="O26" i="13" l="1"/>
  <c r="AE2" i="13"/>
  <c r="F31" i="14" l="1"/>
  <c r="N26" i="13"/>
  <c r="E31" i="14" s="1"/>
  <c r="O25" i="13"/>
  <c r="AC26" i="13"/>
  <c r="AD26" i="13"/>
  <c r="F30" i="14" l="1"/>
  <c r="N25" i="13"/>
  <c r="E30" i="14" s="1"/>
  <c r="O20" i="8" l="1"/>
  <c r="R20" i="8" s="1"/>
  <c r="F22" i="8" s="1"/>
  <c r="O23" i="8"/>
  <c r="R23" i="8" s="1"/>
  <c r="O17" i="8"/>
  <c r="R17" i="8" s="1"/>
  <c r="F25" i="8" l="1"/>
  <c r="F19" i="8"/>
  <c r="U17" i="8" l="1" a="1"/>
  <c r="U17" i="8" s="1"/>
  <c r="E17" i="8" l="1" a="1"/>
  <c r="E17" i="8" s="1"/>
  <c r="AF17" i="8" a="1"/>
  <c r="AF17" i="8" s="1"/>
  <c r="Z17" i="8" a="1"/>
  <c r="Z17" i="8" s="1"/>
  <c r="AC17" i="8" a="1"/>
  <c r="AC17" i="8" s="1"/>
  <c r="AA17" i="8" a="1"/>
  <c r="AA17" i="8" s="1"/>
  <c r="AD17" i="8" a="1"/>
  <c r="AD17" i="8" s="1"/>
  <c r="X17" i="8" a="1"/>
  <c r="X17" i="8" s="1"/>
  <c r="V17" i="8" a="1"/>
  <c r="V17" i="8" s="1"/>
  <c r="W17" i="8" a="1"/>
  <c r="W17" i="8" s="1"/>
  <c r="AE17" i="8" a="1"/>
  <c r="AE17" i="8" s="1"/>
  <c r="Y17" i="8" a="1"/>
  <c r="Y17" i="8" s="1"/>
  <c r="Z38" i="8" l="1"/>
  <c r="AB38" i="8" l="1"/>
  <c r="AF38" i="8" l="1"/>
  <c r="T38" i="8" s="1"/>
  <c r="B6" i="9" l="1" a="1"/>
  <c r="B6" i="9" s="1"/>
  <c r="M13" i="9" s="1"/>
  <c r="AF14" i="5"/>
  <c r="AF16" i="5"/>
  <c r="AF25" i="5"/>
  <c r="AF17" i="5"/>
  <c r="AF21" i="5"/>
  <c r="AG21" i="5" l="1"/>
  <c r="S21" i="5"/>
  <c r="S17" i="5"/>
  <c r="AG17" i="5"/>
  <c r="AG14" i="5"/>
  <c r="R14" i="5"/>
  <c r="S14" i="5"/>
  <c r="S25" i="5"/>
  <c r="AG25" i="5"/>
  <c r="S16" i="5"/>
  <c r="AG16" i="5"/>
  <c r="AC14" i="5" l="1"/>
  <c r="J14" i="6" s="1" a="1"/>
  <c r="J14" i="6" s="1"/>
  <c r="F14" i="6"/>
  <c r="E14" i="12"/>
  <c r="F25" i="12"/>
  <c r="G14" i="6"/>
  <c r="F14" i="12"/>
  <c r="F17" i="12"/>
  <c r="F16" i="12"/>
  <c r="F21" i="12"/>
  <c r="AF20" i="5"/>
  <c r="AF22" i="5"/>
  <c r="AF24" i="5"/>
  <c r="AF18" i="5"/>
  <c r="AF19" i="5"/>
  <c r="AF26" i="5"/>
  <c r="AF23" i="5"/>
  <c r="S23" i="5" l="1"/>
  <c r="R23" i="5"/>
  <c r="AG23" i="5"/>
  <c r="U23" i="5" s="1"/>
  <c r="AG26" i="5"/>
  <c r="U26" i="5" s="1"/>
  <c r="R26" i="5"/>
  <c r="S26" i="5"/>
  <c r="AG19" i="5"/>
  <c r="U19" i="5" s="1"/>
  <c r="S19" i="5"/>
  <c r="R19" i="5"/>
  <c r="R18" i="5"/>
  <c r="AG18" i="5"/>
  <c r="U18" i="5" s="1"/>
  <c r="S18" i="5"/>
  <c r="AG24" i="5"/>
  <c r="U24" i="5" s="1"/>
  <c r="S24" i="5"/>
  <c r="R24" i="5"/>
  <c r="S22" i="5"/>
  <c r="R22" i="5"/>
  <c r="AG22" i="5"/>
  <c r="U22" i="5" s="1"/>
  <c r="R20" i="5"/>
  <c r="S20" i="5"/>
  <c r="AG20" i="5"/>
  <c r="U20" i="5" s="1"/>
  <c r="G22" i="6" l="1"/>
  <c r="F22" i="12"/>
  <c r="W26" i="5"/>
  <c r="AN26" i="5"/>
  <c r="E20" i="12"/>
  <c r="F20" i="6"/>
  <c r="AC20" i="5"/>
  <c r="J20" i="6" s="1" a="1"/>
  <c r="J20" i="6" s="1"/>
  <c r="AN18" i="5"/>
  <c r="W18" i="5"/>
  <c r="W19" i="5"/>
  <c r="AN19" i="5"/>
  <c r="AN23" i="5"/>
  <c r="W23" i="5"/>
  <c r="W22" i="5"/>
  <c r="AN22" i="5"/>
  <c r="F24" i="12"/>
  <c r="G24" i="6"/>
  <c r="F18" i="6"/>
  <c r="E18" i="12"/>
  <c r="AC18" i="5"/>
  <c r="J18" i="6" s="1" a="1"/>
  <c r="J18" i="6" s="1"/>
  <c r="F26" i="12"/>
  <c r="G26" i="6"/>
  <c r="F23" i="6"/>
  <c r="E23" i="12"/>
  <c r="AC23" i="5"/>
  <c r="J23" i="6" s="1" a="1"/>
  <c r="J23" i="6" s="1"/>
  <c r="G20" i="6"/>
  <c r="F20" i="12"/>
  <c r="F18" i="12"/>
  <c r="G18" i="6"/>
  <c r="G19" i="6"/>
  <c r="F19" i="12"/>
  <c r="F24" i="6"/>
  <c r="E24" i="12"/>
  <c r="AC24" i="5"/>
  <c r="J24" i="6" s="1" a="1"/>
  <c r="J24" i="6" s="1"/>
  <c r="AN20" i="5"/>
  <c r="W20" i="5"/>
  <c r="F22" i="6"/>
  <c r="E22" i="12"/>
  <c r="AC22" i="5"/>
  <c r="J22" i="6" s="1" a="1"/>
  <c r="J22" i="6" s="1"/>
  <c r="W24" i="5"/>
  <c r="AN24" i="5"/>
  <c r="F19" i="6"/>
  <c r="E19" i="12"/>
  <c r="AC19" i="5"/>
  <c r="J19" i="6" s="1" a="1"/>
  <c r="J19" i="6" s="1"/>
  <c r="E26" i="12"/>
  <c r="F26" i="6"/>
  <c r="AC26" i="5"/>
  <c r="J26" i="6" s="1" a="1"/>
  <c r="J26" i="6" s="1"/>
  <c r="F23" i="12"/>
  <c r="G23" i="6"/>
  <c r="F11" i="6" l="1"/>
  <c r="I12" i="6"/>
  <c r="N11" i="6"/>
  <c r="H26" i="12"/>
  <c r="X26" i="5" a="1"/>
  <c r="X26" i="5" s="1"/>
  <c r="X22" i="5" a="1"/>
  <c r="X22" i="5" s="1"/>
  <c r="H22" i="12"/>
  <c r="H19" i="12"/>
  <c r="X19" i="5" a="1"/>
  <c r="X19" i="5" s="1"/>
  <c r="H24" i="12"/>
  <c r="X24" i="5" a="1"/>
  <c r="X24" i="5" s="1"/>
  <c r="H20" i="12"/>
  <c r="X20" i="5" a="1"/>
  <c r="X20" i="5" s="1"/>
  <c r="H23" i="12"/>
  <c r="X23" i="5" a="1"/>
  <c r="X23" i="5" s="1"/>
  <c r="H18" i="12"/>
  <c r="X18" i="5" a="1"/>
  <c r="X18" i="5" s="1"/>
  <c r="Z23" i="5" l="1"/>
  <c r="L23" i="5"/>
  <c r="AM23" i="5"/>
  <c r="I23" i="12"/>
  <c r="Z24" i="5"/>
  <c r="L24" i="5"/>
  <c r="C24" i="6" s="1"/>
  <c r="AM24" i="5"/>
  <c r="I24" i="12"/>
  <c r="AM22" i="5"/>
  <c r="L22" i="5"/>
  <c r="C22" i="6" s="1"/>
  <c r="Z22" i="5"/>
  <c r="I22" i="12"/>
  <c r="X21" i="5" a="1"/>
  <c r="X21" i="5" s="1"/>
  <c r="L18" i="5"/>
  <c r="Z18" i="5"/>
  <c r="I18" i="5"/>
  <c r="I19" i="5" s="1"/>
  <c r="I20" i="5" s="1"/>
  <c r="I21" i="5" s="1"/>
  <c r="I22" i="5" s="1"/>
  <c r="O22" i="5" s="1"/>
  <c r="I18" i="12"/>
  <c r="AM18" i="5"/>
  <c r="X15" i="5"/>
  <c r="X16" i="5" a="1"/>
  <c r="X16" i="5" s="1"/>
  <c r="X17" i="5" a="1"/>
  <c r="X17" i="5" s="1"/>
  <c r="AM20" i="5"/>
  <c r="I20" i="12"/>
  <c r="L20" i="5"/>
  <c r="Z20" i="5"/>
  <c r="I19" i="12"/>
  <c r="Z19" i="5"/>
  <c r="L19" i="5"/>
  <c r="AM19" i="5"/>
  <c r="L26" i="5"/>
  <c r="I26" i="12"/>
  <c r="X25" i="5" a="1"/>
  <c r="X25" i="5" s="1"/>
  <c r="I26" i="5"/>
  <c r="AM26" i="5"/>
  <c r="Z26" i="5"/>
  <c r="C26" i="6" l="1"/>
  <c r="O26" i="5"/>
  <c r="O19" i="12"/>
  <c r="M19" i="12"/>
  <c r="AO19" i="12"/>
  <c r="C19" i="12"/>
  <c r="Q70" i="10"/>
  <c r="Z15" i="5"/>
  <c r="K72" i="10"/>
  <c r="K75" i="10" s="1"/>
  <c r="I72" i="10"/>
  <c r="AE9" i="10" s="1"/>
  <c r="AC70" i="10"/>
  <c r="Y72" i="10"/>
  <c r="Y75" i="10" s="1"/>
  <c r="M70" i="10"/>
  <c r="S72" i="10"/>
  <c r="S75" i="10" s="1"/>
  <c r="O70" i="10"/>
  <c r="AC72" i="10"/>
  <c r="AC75" i="10" s="1"/>
  <c r="K70" i="10"/>
  <c r="M72" i="10"/>
  <c r="M75" i="10" s="1"/>
  <c r="I70" i="10"/>
  <c r="Y9" i="10" s="1"/>
  <c r="O72" i="10"/>
  <c r="O75" i="10" s="1"/>
  <c r="Q72" i="10"/>
  <c r="Q75" i="10" s="1"/>
  <c r="U72" i="10"/>
  <c r="U75" i="10" s="1"/>
  <c r="AE70" i="10"/>
  <c r="AE72" i="10"/>
  <c r="AE75" i="10" s="1"/>
  <c r="AA70" i="10"/>
  <c r="AA72" i="10"/>
  <c r="AA75" i="10" s="1"/>
  <c r="U70" i="10"/>
  <c r="S70" i="10"/>
  <c r="W72" i="10"/>
  <c r="W75" i="10" s="1"/>
  <c r="Y70" i="10"/>
  <c r="AM15" i="5"/>
  <c r="W70" i="10"/>
  <c r="AB18" i="5"/>
  <c r="AA18" i="5"/>
  <c r="M23" i="12"/>
  <c r="C23" i="12"/>
  <c r="AO23" i="12"/>
  <c r="O23" i="12"/>
  <c r="AB20" i="5"/>
  <c r="AA20" i="5"/>
  <c r="Z25" i="5"/>
  <c r="I25" i="12"/>
  <c r="AM25" i="5"/>
  <c r="L25" i="5"/>
  <c r="S23" i="8"/>
  <c r="C19" i="6"/>
  <c r="O19" i="5"/>
  <c r="O20" i="5"/>
  <c r="C20" i="6"/>
  <c r="S17" i="8"/>
  <c r="AM17" i="5"/>
  <c r="I17" i="12"/>
  <c r="Z17" i="5"/>
  <c r="L17" i="5"/>
  <c r="M18" i="12"/>
  <c r="O18" i="12"/>
  <c r="AO18" i="12"/>
  <c r="C18" i="12"/>
  <c r="S20" i="8"/>
  <c r="AM21" i="5"/>
  <c r="Z21" i="5"/>
  <c r="L21" i="5"/>
  <c r="I21" i="12"/>
  <c r="AB24" i="5"/>
  <c r="AA24" i="5"/>
  <c r="O23" i="5"/>
  <c r="C23" i="6"/>
  <c r="D22" i="12"/>
  <c r="E22" i="6"/>
  <c r="AB22" i="5"/>
  <c r="AA22" i="5"/>
  <c r="O18" i="5"/>
  <c r="C18" i="6"/>
  <c r="AB26" i="5"/>
  <c r="AB25" i="5" s="1"/>
  <c r="AA26" i="5"/>
  <c r="AA25" i="5" s="1"/>
  <c r="C23" i="8" s="1"/>
  <c r="C26" i="12"/>
  <c r="AO26" i="12"/>
  <c r="O26" i="12"/>
  <c r="M26" i="12"/>
  <c r="M25" i="12" s="1"/>
  <c r="AB19" i="5"/>
  <c r="AA19" i="5"/>
  <c r="AO20" i="12"/>
  <c r="M20" i="12"/>
  <c r="O20" i="12"/>
  <c r="C20" i="12"/>
  <c r="I16" i="12"/>
  <c r="S14" i="8"/>
  <c r="AM16" i="5"/>
  <c r="O14" i="11"/>
  <c r="Z16" i="5"/>
  <c r="L16" i="5"/>
  <c r="C22" i="12"/>
  <c r="AO22" i="12"/>
  <c r="O22" i="12"/>
  <c r="M22" i="12"/>
  <c r="M21" i="12" s="1"/>
  <c r="AO24" i="12"/>
  <c r="C24" i="12"/>
  <c r="M24" i="12"/>
  <c r="O24" i="12"/>
  <c r="N24" i="12" s="1"/>
  <c r="I23" i="5"/>
  <c r="I24" i="5" s="1"/>
  <c r="O24" i="5" s="1"/>
  <c r="AB23" i="5"/>
  <c r="AA23" i="5"/>
  <c r="J25" i="12" a="1"/>
  <c r="L25" i="12" a="1"/>
  <c r="J16" i="12" a="1"/>
  <c r="L16" i="12" a="1"/>
  <c r="L21" i="12" a="1"/>
  <c r="J21" i="12" a="1"/>
  <c r="L17" i="12" a="1"/>
  <c r="J17" i="12" a="1"/>
  <c r="Y24" i="12" l="1"/>
  <c r="N20" i="12"/>
  <c r="AA21" i="5"/>
  <c r="C20" i="8" s="1"/>
  <c r="Y23" i="12"/>
  <c r="X23" i="12" s="1"/>
  <c r="J17" i="12"/>
  <c r="L17" i="12"/>
  <c r="K17" i="12" s="1"/>
  <c r="J21" i="12"/>
  <c r="L21" i="12"/>
  <c r="L16" i="12"/>
  <c r="J16" i="12"/>
  <c r="L25" i="12"/>
  <c r="J25" i="12"/>
  <c r="D24" i="12"/>
  <c r="E24" i="6"/>
  <c r="N18" i="12"/>
  <c r="O17" i="12"/>
  <c r="O16" i="12"/>
  <c r="C17" i="12"/>
  <c r="D20" i="12"/>
  <c r="E20" i="6"/>
  <c r="G14" i="8"/>
  <c r="G15" i="8" s="1" a="1"/>
  <c r="G15" i="8" s="1"/>
  <c r="R27" i="8"/>
  <c r="I27" i="8" s="1"/>
  <c r="H15" i="8" a="1"/>
  <c r="H15" i="8" s="1"/>
  <c r="H14" i="8" a="1"/>
  <c r="H14" i="8" s="1"/>
  <c r="J15" i="8" s="1"/>
  <c r="C21" i="12"/>
  <c r="AB22" i="8" a="1"/>
  <c r="AB22" i="8" s="1"/>
  <c r="AB20" i="8" s="1" a="1"/>
  <c r="AB20" i="8" s="1"/>
  <c r="AE22" i="8" a="1"/>
  <c r="AE22" i="8" s="1"/>
  <c r="AE20" i="8" s="1" a="1"/>
  <c r="AE20" i="8" s="1"/>
  <c r="X22" i="8" a="1"/>
  <c r="X22" i="8" s="1"/>
  <c r="X20" i="8" s="1" a="1"/>
  <c r="X20" i="8" s="1"/>
  <c r="G20" i="8"/>
  <c r="G21" i="8" s="1" a="1"/>
  <c r="G21" i="8" s="1"/>
  <c r="D20" i="8"/>
  <c r="AA22" i="8" a="1"/>
  <c r="AA22" i="8" s="1"/>
  <c r="AA20" i="8" s="1" a="1"/>
  <c r="AA20" i="8" s="1"/>
  <c r="Y22" i="8" a="1"/>
  <c r="Y22" i="8" s="1"/>
  <c r="Y20" i="8" s="1" a="1"/>
  <c r="Y20" i="8" s="1"/>
  <c r="U22" i="8" a="1"/>
  <c r="U22" i="8" s="1"/>
  <c r="U20" i="8" s="1" a="1"/>
  <c r="U20" i="8" s="1"/>
  <c r="Z22" i="8" a="1"/>
  <c r="Z22" i="8" s="1"/>
  <c r="Z20" i="8" s="1" a="1"/>
  <c r="Z20" i="8" s="1"/>
  <c r="AF22" i="8" a="1"/>
  <c r="AF22" i="8" s="1"/>
  <c r="AF20" i="8" s="1" a="1"/>
  <c r="AF20" i="8" s="1"/>
  <c r="E22" i="8" a="1"/>
  <c r="E22" i="8" s="1"/>
  <c r="E20" i="8" s="1" a="1"/>
  <c r="E20" i="8" s="1"/>
  <c r="V22" i="8" a="1"/>
  <c r="V22" i="8" s="1"/>
  <c r="V20" i="8" s="1" a="1"/>
  <c r="V20" i="8" s="1"/>
  <c r="H21" i="8" a="1"/>
  <c r="H21" i="8" s="1"/>
  <c r="AC22" i="8" a="1"/>
  <c r="AC22" i="8" s="1"/>
  <c r="AC20" i="8" s="1" a="1"/>
  <c r="AC20" i="8" s="1"/>
  <c r="W22" i="8" a="1"/>
  <c r="W22" i="8" s="1"/>
  <c r="W20" i="8" s="1" a="1"/>
  <c r="W20" i="8" s="1"/>
  <c r="AD22" i="8" a="1"/>
  <c r="AD22" i="8" s="1"/>
  <c r="AD20" i="8" s="1" a="1"/>
  <c r="AD20" i="8" s="1"/>
  <c r="H20" i="8" a="1"/>
  <c r="H20" i="8" s="1"/>
  <c r="J21" i="8" s="1"/>
  <c r="M16" i="12"/>
  <c r="M17" i="12"/>
  <c r="N19" i="12"/>
  <c r="O21" i="12"/>
  <c r="N21" i="12" s="1"/>
  <c r="N22" i="12"/>
  <c r="C16" i="12"/>
  <c r="Y20" i="12"/>
  <c r="O25" i="12"/>
  <c r="N25" i="12" s="1"/>
  <c r="N26" i="12"/>
  <c r="D23" i="12"/>
  <c r="E23" i="6"/>
  <c r="AC21" i="5"/>
  <c r="C21" i="6"/>
  <c r="O21" i="5"/>
  <c r="AC17" i="5"/>
  <c r="C17" i="6"/>
  <c r="O17" i="5"/>
  <c r="AF19" i="8" a="1"/>
  <c r="AF19" i="8" s="1"/>
  <c r="Y19" i="8" a="1"/>
  <c r="Y19" i="8" s="1"/>
  <c r="AB19" i="8" a="1"/>
  <c r="AB19" i="8" s="1"/>
  <c r="AB17" i="8" s="1" a="1"/>
  <c r="AB17" i="8" s="1"/>
  <c r="H17" i="8" s="1" a="1"/>
  <c r="H17" i="8" s="1"/>
  <c r="J18" i="8" s="1"/>
  <c r="X19" i="8" a="1"/>
  <c r="X19" i="8" s="1"/>
  <c r="AA19" i="8" a="1"/>
  <c r="AA19" i="8" s="1"/>
  <c r="W19" i="8" a="1"/>
  <c r="W19" i="8" s="1"/>
  <c r="U19" i="8" a="1"/>
  <c r="U19" i="8" s="1"/>
  <c r="U16" i="8" s="1" a="1"/>
  <c r="U16" i="8" s="1"/>
  <c r="AC19" i="8" a="1"/>
  <c r="AC19" i="8" s="1"/>
  <c r="AD19" i="8" a="1"/>
  <c r="AD19" i="8" s="1"/>
  <c r="Z19" i="8" a="1"/>
  <c r="Z19" i="8" s="1"/>
  <c r="V19" i="8" a="1"/>
  <c r="V19" i="8" s="1"/>
  <c r="H18" i="8" a="1"/>
  <c r="H18" i="8" s="1"/>
  <c r="AE19" i="8" a="1"/>
  <c r="AE19" i="8" s="1"/>
  <c r="G17" i="8"/>
  <c r="G18" i="8" s="1" a="1"/>
  <c r="G18" i="8" s="1"/>
  <c r="E19" i="8" a="1"/>
  <c r="E19" i="8" s="1"/>
  <c r="C25" i="12"/>
  <c r="N23" i="12"/>
  <c r="AA15" i="5"/>
  <c r="AA17" i="5"/>
  <c r="C17" i="8" s="1"/>
  <c r="AA16" i="5"/>
  <c r="AA14" i="11" s="1"/>
  <c r="E26" i="6"/>
  <c r="D26" i="12"/>
  <c r="X24" i="12"/>
  <c r="W24" i="12"/>
  <c r="D18" i="12"/>
  <c r="E18" i="6"/>
  <c r="AC25" i="5"/>
  <c r="O25" i="5"/>
  <c r="C25" i="6"/>
  <c r="AC16" i="5"/>
  <c r="C16" i="6"/>
  <c r="O16" i="5"/>
  <c r="D19" i="12"/>
  <c r="E19" i="6"/>
  <c r="AB21" i="5"/>
  <c r="Y22" i="12"/>
  <c r="AO21" i="12"/>
  <c r="Y21" i="12" s="1"/>
  <c r="O24" i="11"/>
  <c r="P14" i="11"/>
  <c r="G11" i="11" s="1"/>
  <c r="L14" i="13"/>
  <c r="C14" i="11"/>
  <c r="Y26" i="12"/>
  <c r="AO25" i="12"/>
  <c r="Y25" i="12" s="1"/>
  <c r="Y18" i="12"/>
  <c r="AO17" i="12"/>
  <c r="AO16" i="12"/>
  <c r="Y16" i="12" s="1"/>
  <c r="AE25" i="8" a="1"/>
  <c r="AE25" i="8" s="1"/>
  <c r="AE23" i="8" s="1" a="1"/>
  <c r="AE23" i="8" s="1"/>
  <c r="U25" i="8" a="1"/>
  <c r="U25" i="8" s="1"/>
  <c r="U23" i="8" s="1" a="1"/>
  <c r="U23" i="8" s="1"/>
  <c r="V25" i="8" a="1"/>
  <c r="V25" i="8" s="1"/>
  <c r="V23" i="8" s="1" a="1"/>
  <c r="V23" i="8" s="1"/>
  <c r="Y25" i="8" a="1"/>
  <c r="Y25" i="8" s="1"/>
  <c r="Y23" i="8" s="1" a="1"/>
  <c r="Y23" i="8" s="1"/>
  <c r="AD25" i="8" a="1"/>
  <c r="AD25" i="8" s="1"/>
  <c r="AD23" i="8" s="1" a="1"/>
  <c r="AD23" i="8" s="1"/>
  <c r="X25" i="8" a="1"/>
  <c r="X25" i="8" s="1"/>
  <c r="X23" i="8" s="1" a="1"/>
  <c r="X23" i="8" s="1"/>
  <c r="Z25" i="8" a="1"/>
  <c r="Z25" i="8" s="1"/>
  <c r="Z23" i="8" s="1" a="1"/>
  <c r="Z23" i="8" s="1"/>
  <c r="AF25" i="8" a="1"/>
  <c r="AF25" i="8" s="1"/>
  <c r="AF23" i="8" s="1" a="1"/>
  <c r="AF23" i="8" s="1"/>
  <c r="H24" i="8" a="1"/>
  <c r="H24" i="8" s="1"/>
  <c r="W25" i="8" a="1"/>
  <c r="W25" i="8" s="1"/>
  <c r="W23" i="8" s="1" a="1"/>
  <c r="W23" i="8" s="1"/>
  <c r="AC25" i="8" a="1"/>
  <c r="AC25" i="8" s="1"/>
  <c r="AC23" i="8" s="1" a="1"/>
  <c r="AC23" i="8" s="1"/>
  <c r="G23" i="8"/>
  <c r="G24" i="8" s="1" a="1"/>
  <c r="G24" i="8" s="1"/>
  <c r="AA25" i="8" a="1"/>
  <c r="AA25" i="8" s="1"/>
  <c r="AA23" i="8" s="1" a="1"/>
  <c r="AA23" i="8" s="1"/>
  <c r="D23" i="8"/>
  <c r="AB25" i="8" a="1"/>
  <c r="AB25" i="8" s="1"/>
  <c r="AB23" i="8" s="1" a="1"/>
  <c r="AB23" i="8" s="1"/>
  <c r="E25" i="8" a="1"/>
  <c r="E25" i="8" s="1"/>
  <c r="E23" i="8" s="1" a="1"/>
  <c r="E23" i="8" s="1"/>
  <c r="H23" i="8" a="1"/>
  <c r="H23" i="8" s="1"/>
  <c r="J24" i="8" s="1"/>
  <c r="W23" i="12"/>
  <c r="AB17" i="5"/>
  <c r="D17" i="8" s="1"/>
  <c r="AB15" i="5"/>
  <c r="AB16" i="5"/>
  <c r="AB14" i="11" s="1"/>
  <c r="H75" i="10"/>
  <c r="Y19" i="12"/>
  <c r="V16" i="8" l="1" a="1"/>
  <c r="V16" i="8" s="1"/>
  <c r="V14" i="8" s="1" a="1"/>
  <c r="V14" i="8" s="1"/>
  <c r="AB16" i="8" a="1"/>
  <c r="AB16" i="8" s="1"/>
  <c r="AB14" i="8" s="1" a="1"/>
  <c r="AB14" i="8" s="1"/>
  <c r="AE16" i="8" a="1"/>
  <c r="AE16" i="8" s="1"/>
  <c r="AD16" i="8" a="1"/>
  <c r="AD16" i="8" s="1"/>
  <c r="AD14" i="8" s="1" a="1"/>
  <c r="AD14" i="8" s="1"/>
  <c r="AA16" i="8" a="1"/>
  <c r="AA16" i="8" s="1"/>
  <c r="AF16" i="8" a="1"/>
  <c r="AF16" i="8" s="1"/>
  <c r="K21" i="12"/>
  <c r="X16" i="8" a="1"/>
  <c r="X16" i="8" s="1"/>
  <c r="X14" i="8" s="1" a="1"/>
  <c r="X14" i="8" s="1"/>
  <c r="AC16" i="8" a="1"/>
  <c r="AC16" i="8" s="1"/>
  <c r="AC14" i="8" s="1" a="1"/>
  <c r="AC14" i="8" s="1"/>
  <c r="Z16" i="8" a="1"/>
  <c r="Z16" i="8" s="1"/>
  <c r="Z14" i="8" s="1" a="1"/>
  <c r="Z14" i="8" s="1"/>
  <c r="AE14" i="8" a="1"/>
  <c r="AE14" i="8" s="1"/>
  <c r="AA14" i="8" a="1"/>
  <c r="AA14" i="8" s="1"/>
  <c r="U14" i="8" a="1"/>
  <c r="U14" i="8" s="1"/>
  <c r="U35" i="8" a="1"/>
  <c r="U35" i="8" s="1"/>
  <c r="U34" i="8" a="1"/>
  <c r="U34" i="8" s="1"/>
  <c r="U36" i="8"/>
  <c r="AF14" i="8" a="1"/>
  <c r="AF14" i="8" s="1"/>
  <c r="N14" i="11"/>
  <c r="N24" i="11" s="1"/>
  <c r="AB24" i="11"/>
  <c r="AB7" i="11" s="1"/>
  <c r="I23" i="8"/>
  <c r="D25" i="12"/>
  <c r="E25" i="6"/>
  <c r="T24" i="12"/>
  <c r="U24" i="12"/>
  <c r="V24" i="12"/>
  <c r="W16" i="8" a="1"/>
  <c r="W16" i="8" s="1"/>
  <c r="N17" i="12"/>
  <c r="W25" i="12"/>
  <c r="X25" i="12"/>
  <c r="O25" i="11"/>
  <c r="AA7" i="11"/>
  <c r="Z3" i="11" s="1"/>
  <c r="AA3" i="11" s="1"/>
  <c r="E16" i="8" a="1"/>
  <c r="E16" i="8" s="1"/>
  <c r="K25" i="12"/>
  <c r="X19" i="12"/>
  <c r="W19" i="12"/>
  <c r="X16" i="12"/>
  <c r="W16" i="12"/>
  <c r="W26" i="12"/>
  <c r="X26" i="12"/>
  <c r="X21" i="12"/>
  <c r="W21" i="12"/>
  <c r="V36" i="8"/>
  <c r="X18" i="12"/>
  <c r="W18" i="12"/>
  <c r="Z14" i="11"/>
  <c r="Z24" i="11" s="1"/>
  <c r="I14" i="8"/>
  <c r="D16" i="12"/>
  <c r="E16" i="6"/>
  <c r="AA24" i="11"/>
  <c r="E21" i="6"/>
  <c r="D21" i="12"/>
  <c r="I20" i="8"/>
  <c r="D17" i="12"/>
  <c r="E17" i="6"/>
  <c r="I17" i="8"/>
  <c r="O12" i="5" a="1"/>
  <c r="O12" i="5" s="1"/>
  <c r="U23" i="12"/>
  <c r="V23" i="12"/>
  <c r="T23" i="12"/>
  <c r="Y17" i="12"/>
  <c r="D14" i="13"/>
  <c r="V14" i="13"/>
  <c r="V15" i="13" s="1"/>
  <c r="V16" i="13" s="1"/>
  <c r="V17" i="13" s="1"/>
  <c r="V18" i="13" s="1"/>
  <c r="V19" i="13" s="1"/>
  <c r="V20" i="13" s="1"/>
  <c r="V21" i="13" s="1"/>
  <c r="V22" i="13" s="1"/>
  <c r="V23" i="13" s="1"/>
  <c r="P14" i="13"/>
  <c r="L28" i="13"/>
  <c r="X22" i="12"/>
  <c r="W22" i="12"/>
  <c r="AC11" i="5"/>
  <c r="Y16" i="8" a="1"/>
  <c r="Y16" i="8" s="1"/>
  <c r="W20" i="12"/>
  <c r="X20" i="12"/>
  <c r="N16" i="12"/>
  <c r="K16" i="12"/>
  <c r="Y14" i="8" l="1" a="1"/>
  <c r="Y14" i="8" s="1"/>
  <c r="P24" i="13"/>
  <c r="O24" i="13"/>
  <c r="O29" i="13"/>
  <c r="N24" i="13"/>
  <c r="E34" i="14"/>
  <c r="D33" i="14"/>
  <c r="L24" i="13"/>
  <c r="M24" i="13"/>
  <c r="W17" i="12"/>
  <c r="X17" i="12"/>
  <c r="V32" i="8"/>
  <c r="J70" i="9" s="1"/>
  <c r="J73" i="9" s="1"/>
  <c r="J71" i="9"/>
  <c r="V31" i="8"/>
  <c r="V19" i="12"/>
  <c r="U19" i="12"/>
  <c r="T19" i="12"/>
  <c r="T26" i="12"/>
  <c r="V26" i="12"/>
  <c r="U26" i="12"/>
  <c r="U30" i="8"/>
  <c r="V35" i="8" a="1"/>
  <c r="V35" i="8" s="1"/>
  <c r="AD22" i="11"/>
  <c r="AD17" i="11"/>
  <c r="AD21" i="11"/>
  <c r="AD16" i="11"/>
  <c r="AD19" i="11"/>
  <c r="AD18" i="11"/>
  <c r="AD20" i="11"/>
  <c r="AD14" i="11"/>
  <c r="AD15" i="11"/>
  <c r="AD23" i="11"/>
  <c r="AD12" i="11"/>
  <c r="U31" i="8"/>
  <c r="U32" i="8"/>
  <c r="H71" i="9"/>
  <c r="U33" i="8"/>
  <c r="U28" i="8" s="1"/>
  <c r="W14" i="8" a="1"/>
  <c r="W14" i="8" s="1"/>
  <c r="W36" i="8"/>
  <c r="L27" i="13"/>
  <c r="D32" i="14" s="1"/>
  <c r="N25" i="11"/>
  <c r="U29" i="8"/>
  <c r="V34" i="8" a="1"/>
  <c r="V34" i="8" s="1"/>
  <c r="T22" i="12"/>
  <c r="U22" i="12"/>
  <c r="V22" i="12"/>
  <c r="V18" i="12"/>
  <c r="U18" i="12"/>
  <c r="T18" i="12"/>
  <c r="U21" i="12"/>
  <c r="T21" i="12"/>
  <c r="V21" i="12"/>
  <c r="V16" i="12"/>
  <c r="U16" i="12"/>
  <c r="T16" i="12"/>
  <c r="T20" i="12"/>
  <c r="V20" i="12"/>
  <c r="U20" i="12"/>
  <c r="E36" i="8"/>
  <c r="E14" i="8" a="1"/>
  <c r="E14" i="8" s="1"/>
  <c r="E35" i="8" a="1"/>
  <c r="E35" i="8" s="1"/>
  <c r="E30" i="8" s="1"/>
  <c r="E34" i="8" a="1"/>
  <c r="E34" i="8" s="1"/>
  <c r="E29" i="8" s="1"/>
  <c r="U25" i="12"/>
  <c r="V25" i="12"/>
  <c r="T25" i="12"/>
  <c r="AE12" i="11" l="1"/>
  <c r="M12" i="11" s="1"/>
  <c r="L12" i="11" s="1"/>
  <c r="AE15" i="11"/>
  <c r="M15" i="11" s="1"/>
  <c r="L15" i="11" s="1"/>
  <c r="AE19" i="11"/>
  <c r="M19" i="11" s="1"/>
  <c r="L19" i="11" s="1"/>
  <c r="AE20" i="11"/>
  <c r="M20" i="11" s="1"/>
  <c r="L20" i="11" s="1"/>
  <c r="V27" i="8"/>
  <c r="J68" i="9" s="1"/>
  <c r="J69" i="9"/>
  <c r="U17" i="12"/>
  <c r="V17" i="12"/>
  <c r="T17" i="12"/>
  <c r="F34" i="14"/>
  <c r="G10" i="13"/>
  <c r="AE22" i="11"/>
  <c r="M22" i="11" s="1"/>
  <c r="L22" i="11" s="1"/>
  <c r="AE23" i="11"/>
  <c r="M23" i="11" s="1"/>
  <c r="L23" i="11" s="1"/>
  <c r="AE17" i="11"/>
  <c r="M17" i="11" s="1"/>
  <c r="L17" i="11" s="1"/>
  <c r="AE16" i="11"/>
  <c r="M16" i="11" s="1"/>
  <c r="L16" i="11" s="1"/>
  <c r="U27" i="8"/>
  <c r="H68" i="9" s="1"/>
  <c r="H69" i="9"/>
  <c r="V30" i="8"/>
  <c r="W35" i="8" a="1"/>
  <c r="W35" i="8" s="1"/>
  <c r="V33" i="8"/>
  <c r="V28" i="8" s="1"/>
  <c r="E32" i="8"/>
  <c r="E31" i="8"/>
  <c r="E27" i="8" s="1"/>
  <c r="E33" i="8"/>
  <c r="E28" i="8" s="1"/>
  <c r="W34" i="8" a="1"/>
  <c r="W34" i="8" s="1"/>
  <c r="V29" i="8"/>
  <c r="W32" i="8"/>
  <c r="L70" i="9" s="1"/>
  <c r="L73" i="9" s="1"/>
  <c r="L71" i="9"/>
  <c r="W31" i="8"/>
  <c r="X36" i="8"/>
  <c r="H70" i="9"/>
  <c r="H73" i="9" s="1"/>
  <c r="AE14" i="11"/>
  <c r="M14" i="11" s="1"/>
  <c r="AE18" i="11"/>
  <c r="M18" i="11" s="1"/>
  <c r="L18" i="11" s="1"/>
  <c r="AE21" i="11"/>
  <c r="M21" i="11" s="1"/>
  <c r="L21" i="11" s="1"/>
  <c r="W30" i="8" l="1"/>
  <c r="X35" i="8" a="1"/>
  <c r="X35" i="8" s="1"/>
  <c r="X31" i="8"/>
  <c r="N71" i="9"/>
  <c r="X32" i="8"/>
  <c r="Y36" i="8"/>
  <c r="M24" i="11"/>
  <c r="L14" i="11"/>
  <c r="L24" i="11" s="1"/>
  <c r="W33" i="8"/>
  <c r="W28" i="8" s="1"/>
  <c r="W27" i="8"/>
  <c r="L68" i="9" s="1"/>
  <c r="L69" i="9"/>
  <c r="X34" i="8" a="1"/>
  <c r="X34" i="8" s="1"/>
  <c r="X33" i="8" s="1"/>
  <c r="X28" i="8" s="1"/>
  <c r="W29" i="8"/>
  <c r="P71" i="9" l="1"/>
  <c r="Y32" i="8"/>
  <c r="P70" i="9" s="1"/>
  <c r="P73" i="9" s="1"/>
  <c r="Y31" i="8"/>
  <c r="Z36" i="8"/>
  <c r="X30" i="8"/>
  <c r="Y35" i="8" a="1"/>
  <c r="Y35" i="8" s="1"/>
  <c r="M25" i="11"/>
  <c r="L26" i="13"/>
  <c r="D31" i="14" s="1"/>
  <c r="M10" i="11"/>
  <c r="N10" i="13" s="1"/>
  <c r="X27" i="8"/>
  <c r="N68" i="9" s="1"/>
  <c r="N69" i="9"/>
  <c r="Y34" i="8" a="1"/>
  <c r="Y34" i="8" s="1"/>
  <c r="X29" i="8"/>
  <c r="L25" i="13"/>
  <c r="D30" i="14" s="1"/>
  <c r="L25" i="11"/>
  <c r="L10" i="11"/>
  <c r="M10" i="13" s="1"/>
  <c r="N70" i="9"/>
  <c r="N73" i="9" s="1"/>
  <c r="Y33" i="8" l="1"/>
  <c r="Y28" i="8" s="1"/>
  <c r="G9" i="11"/>
  <c r="Z35" i="8" a="1"/>
  <c r="Z35" i="8" s="1"/>
  <c r="Y30" i="8"/>
  <c r="P69" i="9"/>
  <c r="Y27" i="8"/>
  <c r="P68" i="9" s="1"/>
  <c r="Z34" i="8" a="1"/>
  <c r="Z34" i="8" s="1"/>
  <c r="Y29" i="8"/>
  <c r="R71" i="9"/>
  <c r="Z31" i="8"/>
  <c r="Z32" i="8"/>
  <c r="AA36" i="8"/>
  <c r="AA34" i="8" l="1" a="1"/>
  <c r="AA34" i="8" s="1"/>
  <c r="Z29" i="8"/>
  <c r="R69" i="9"/>
  <c r="Z27" i="8"/>
  <c r="R68" i="9" s="1"/>
  <c r="AA32" i="8"/>
  <c r="T70" i="9" s="1"/>
  <c r="T73" i="9" s="1"/>
  <c r="AA31" i="8"/>
  <c r="T71" i="9"/>
  <c r="AB36" i="8"/>
  <c r="Z33" i="8"/>
  <c r="Z28" i="8" s="1"/>
  <c r="R70" i="9"/>
  <c r="R73" i="9" s="1"/>
  <c r="Z30" i="8"/>
  <c r="AA35" i="8" a="1"/>
  <c r="AA35" i="8" s="1"/>
  <c r="AA33" i="8" s="1"/>
  <c r="AA28" i="8" s="1"/>
  <c r="AA30" i="8" l="1"/>
  <c r="AB35" i="8" a="1"/>
  <c r="AB35" i="8" s="1"/>
  <c r="T69" i="9"/>
  <c r="AA27" i="8"/>
  <c r="T68" i="9" s="1"/>
  <c r="AB32" i="8"/>
  <c r="AB31" i="8"/>
  <c r="V71" i="9"/>
  <c r="AC36" i="8"/>
  <c r="AA29" i="8"/>
  <c r="AB34" i="8" a="1"/>
  <c r="AB34" i="8" s="1"/>
  <c r="AB30" i="8" l="1"/>
  <c r="AC35" i="8" a="1"/>
  <c r="AC35" i="8" s="1"/>
  <c r="AC31" i="8"/>
  <c r="X71" i="9"/>
  <c r="AC32" i="8"/>
  <c r="X70" i="9" s="1"/>
  <c r="X73" i="9" s="1"/>
  <c r="AD36" i="8"/>
  <c r="V70" i="9"/>
  <c r="V73" i="9" s="1"/>
  <c r="AB33" i="8"/>
  <c r="AB28" i="8" s="1"/>
  <c r="AC34" i="8" a="1"/>
  <c r="AC34" i="8" s="1"/>
  <c r="AC33" i="8" s="1"/>
  <c r="AC28" i="8" s="1"/>
  <c r="AB29" i="8"/>
  <c r="V69" i="9"/>
  <c r="AB27" i="8"/>
  <c r="V68" i="9" s="1"/>
  <c r="AD32" i="8" l="1"/>
  <c r="AD31" i="8"/>
  <c r="Z71" i="9"/>
  <c r="AE36" i="8"/>
  <c r="X69" i="9"/>
  <c r="AC27" i="8"/>
  <c r="X68" i="9" s="1"/>
  <c r="AC30" i="8"/>
  <c r="AD35" i="8" a="1"/>
  <c r="AD35" i="8" s="1"/>
  <c r="AD33" i="8" s="1"/>
  <c r="AD28" i="8" s="1"/>
  <c r="AD34" i="8" a="1"/>
  <c r="AD34" i="8" s="1"/>
  <c r="AC29" i="8"/>
  <c r="AE34" i="8" l="1" a="1"/>
  <c r="AE34" i="8" s="1"/>
  <c r="AD29" i="8"/>
  <c r="Z69" i="9"/>
  <c r="AD27" i="8"/>
  <c r="Z68" i="9" s="1"/>
  <c r="AE35" i="8" a="1"/>
  <c r="AE35" i="8" s="1"/>
  <c r="AE33" i="8" s="1"/>
  <c r="AE28" i="8" s="1"/>
  <c r="AD30" i="8"/>
  <c r="AB71" i="9"/>
  <c r="AE31" i="8"/>
  <c r="AE32" i="8"/>
  <c r="AB70" i="9" s="1"/>
  <c r="AB73" i="9" s="1"/>
  <c r="AF36" i="8"/>
  <c r="Z70" i="9"/>
  <c r="Z73" i="9" s="1"/>
  <c r="AB69" i="9" l="1"/>
  <c r="AE27" i="8"/>
  <c r="AB68" i="9" s="1"/>
  <c r="AF31" i="8"/>
  <c r="AF32" i="8"/>
  <c r="AD71" i="9"/>
  <c r="K10" i="8" a="1"/>
  <c r="K10" i="8" s="1"/>
  <c r="AE30" i="8"/>
  <c r="AF35" i="8" a="1"/>
  <c r="AF35" i="8" s="1"/>
  <c r="AF30" i="8" s="1"/>
  <c r="AF34" i="8" a="1"/>
  <c r="AF34" i="8" s="1"/>
  <c r="AF29" i="8" s="1"/>
  <c r="AE29" i="8"/>
  <c r="AD70" i="9" l="1"/>
  <c r="AD73" i="9" s="1"/>
  <c r="G73" i="9" s="1"/>
  <c r="F11" i="8" a="1"/>
  <c r="F11" i="8" s="1"/>
  <c r="AF33" i="8"/>
  <c r="AF28" i="8" s="1"/>
  <c r="AF27" i="8"/>
  <c r="AD68" i="9" s="1"/>
  <c r="AD69" i="9"/>
</calcChain>
</file>

<file path=xl/comments1.xml><?xml version="1.0" encoding="utf-8"?>
<comments xmlns="http://schemas.openxmlformats.org/spreadsheetml/2006/main">
  <authors>
    <author/>
  </authors>
  <commentList>
    <comment ref="C41" authorId="0" shapeId="0">
      <text>
        <r>
          <rPr>
            <sz val="9"/>
            <color indexed="8"/>
            <rFont val="Segoe UI"/>
            <family val="2"/>
          </rPr>
          <t>Informar a data-base do CTEF no formato mm-aaaa.</t>
        </r>
      </text>
    </comment>
  </commentList>
</comments>
</file>

<file path=xl/comments2.xml><?xml version="1.0" encoding="utf-8"?>
<comments xmlns="http://schemas.openxmlformats.org/spreadsheetml/2006/main">
  <authors>
    <author/>
  </authors>
  <commentList>
    <comment ref="I6" authorId="0" shapeId="0">
      <text>
        <r>
          <rPr>
            <b/>
            <sz val="9"/>
            <color indexed="8"/>
            <rFont val="Tahoma"/>
            <family val="2"/>
          </rPr>
          <t xml:space="preserve">FILTRO:
</t>
        </r>
        <r>
          <rPr>
            <sz val="9"/>
            <color indexed="8"/>
            <rFont val="Tahoma"/>
            <family val="2"/>
          </rPr>
          <t>Após a conclusão do Orçamento, utilize o filtro nessa coluna com o valor "F" para ocultar linhas não utilizadas.</t>
        </r>
      </text>
    </comment>
  </commentList>
</comments>
</file>

<file path=xl/comments3.xml><?xml version="1.0" encoding="utf-8"?>
<comments xmlns="http://schemas.openxmlformats.org/spreadsheetml/2006/main">
  <authors>
    <author/>
  </authors>
  <commentList>
    <comment ref="AJ7" authorId="0" shapeId="0">
      <text>
        <r>
          <rPr>
            <b/>
            <sz val="9"/>
            <color indexed="8"/>
            <rFont val="Tahoma"/>
            <family val="2"/>
          </rPr>
          <t xml:space="preserve">QUANTIDADES:
</t>
        </r>
        <r>
          <rPr>
            <sz val="9"/>
            <color indexed="8"/>
            <rFont val="Tahoma"/>
            <family val="2"/>
          </rPr>
          <t>PREENCHA AS QUANTIDADES AQUI PARA ACOMPANHAMENTOS POR BM.</t>
        </r>
      </text>
    </comment>
    <comment ref="AL7" authorId="0" shapeId="0">
      <text>
        <r>
          <rPr>
            <b/>
            <sz val="9"/>
            <color indexed="8"/>
            <rFont val="Tahoma"/>
            <family val="2"/>
          </rPr>
          <t xml:space="preserve">PREÇO UNITÁRIO LICITADO:
</t>
        </r>
        <r>
          <rPr>
            <sz val="9"/>
            <color indexed="8"/>
            <rFont val="Tahoma"/>
            <family val="2"/>
          </rPr>
          <t>PREENCHA AQUI O PREÇO UNITÁRIO DA LICITAÇÃO.</t>
        </r>
      </text>
    </comment>
    <comment ref="L8" authorId="0" shapeId="0">
      <text>
        <r>
          <rPr>
            <b/>
            <sz val="9"/>
            <color indexed="8"/>
            <rFont val="Tahoma"/>
            <family val="2"/>
          </rPr>
          <t xml:space="preserve">FILTRO:
</t>
        </r>
        <r>
          <rPr>
            <sz val="9"/>
            <color indexed="8"/>
            <rFont val="Tahoma"/>
            <family val="2"/>
          </rPr>
          <t>Após a conclusão do Orçamento, utilize o filtro nessa coluna com o valor "F" para ocultar linhas não utilizadas.</t>
        </r>
      </text>
    </comment>
    <comment ref="Y8" authorId="0" shapeId="0">
      <text>
        <r>
          <rPr>
            <b/>
            <sz val="9"/>
            <color indexed="8"/>
            <rFont val="Tahoma"/>
            <family val="2"/>
          </rPr>
          <t xml:space="preserve">RECURSO:
</t>
        </r>
        <r>
          <rPr>
            <sz val="9"/>
            <color indexed="8"/>
            <rFont val="Tahoma"/>
            <family val="2"/>
          </rPr>
          <t>Selecione a composição do item do Orçamento no Investimento.
RA: Rateio proporcional entre Repasse e Contrapartida.
RP: 100% valor de Repasse.
CP: 100%  valor de Contrapartida.
OU: 100% valor "Outros".</t>
        </r>
      </text>
    </comment>
  </commentList>
</comments>
</file>

<file path=xl/comments4.xml><?xml version="1.0" encoding="utf-8"?>
<comments xmlns="http://schemas.openxmlformats.org/spreadsheetml/2006/main">
  <authors>
    <author/>
  </authors>
  <commentList>
    <comment ref="D15" authorId="0" shapeId="0">
      <text>
        <r>
          <rPr>
            <sz val="9"/>
            <color indexed="8"/>
            <rFont val="Segoe UI"/>
            <family val="2"/>
          </rPr>
          <t>O evento de administração local é fixo, de uso opcional.
Os serviços agrupados neste evento serão medidos proporcionalmente à execução dos demais eventos.</t>
        </r>
      </text>
    </comment>
  </commentList>
</comments>
</file>

<file path=xl/comments5.xml><?xml version="1.0" encoding="utf-8"?>
<comments xmlns="http://schemas.openxmlformats.org/spreadsheetml/2006/main">
  <authors>
    <author/>
  </authors>
  <commentList>
    <comment ref="C7" authorId="0" shapeId="0">
      <text>
        <r>
          <rPr>
            <b/>
            <sz val="9"/>
            <color indexed="8"/>
            <rFont val="Tahoma"/>
            <family val="2"/>
          </rPr>
          <t xml:space="preserve">FILTRO:
</t>
        </r>
        <r>
          <rPr>
            <sz val="9"/>
            <color indexed="8"/>
            <rFont val="Tahoma"/>
            <family val="2"/>
          </rPr>
          <t>Após a conclusão do Orçamento, utilize o filtro nessa coluna com o valor "F" para ocultar linhas não utilizadas.</t>
        </r>
      </text>
    </comment>
  </commentList>
</comments>
</file>

<file path=xl/comments6.xml><?xml version="1.0" encoding="utf-8"?>
<comments xmlns="http://schemas.openxmlformats.org/spreadsheetml/2006/main">
  <authors>
    <author/>
  </authors>
  <commentList>
    <comment ref="C8" authorId="0" shapeId="0">
      <text>
        <r>
          <rPr>
            <b/>
            <sz val="9"/>
            <color indexed="8"/>
            <rFont val="Tahoma"/>
            <family val="2"/>
          </rPr>
          <t xml:space="preserve">FILTRO:
</t>
        </r>
        <r>
          <rPr>
            <sz val="9"/>
            <color indexed="8"/>
            <rFont val="Tahoma"/>
            <family val="2"/>
          </rPr>
          <t>Após a conclusão do Orçamento, utilize o filtro nessa coluna com o valor "F" para ocultar linhas não utilizadas.</t>
        </r>
      </text>
    </comment>
    <comment ref="AB12" authorId="0" shapeId="0">
      <text>
        <r>
          <rPr>
            <sz val="9"/>
            <color indexed="8"/>
            <rFont val="Segoe UI"/>
            <family val="2"/>
          </rPr>
          <t>Digite nestes campos as datas das medições</t>
        </r>
      </text>
    </comment>
    <comment ref="AB13" authorId="0" shapeId="0">
      <text>
        <r>
          <rPr>
            <sz val="9"/>
            <color indexed="8"/>
            <rFont val="Tahoma"/>
            <family val="2"/>
          </rPr>
          <t xml:space="preserve">Para medições além da 12ª, preencha esta coluna com as </t>
        </r>
        <r>
          <rPr>
            <b/>
            <sz val="9"/>
            <color indexed="8"/>
            <rFont val="Tahoma"/>
            <family val="2"/>
          </rPr>
          <t>quantidades acumuladas.</t>
        </r>
      </text>
    </comment>
  </commentList>
</comments>
</file>

<file path=xl/comments7.xml><?xml version="1.0" encoding="utf-8"?>
<comments xmlns="http://schemas.openxmlformats.org/spreadsheetml/2006/main">
  <authors>
    <author/>
  </authors>
  <commentList>
    <comment ref="D7" authorId="0" shapeId="0">
      <text>
        <r>
          <rPr>
            <b/>
            <sz val="9"/>
            <color indexed="8"/>
            <rFont val="Tahoma"/>
            <family val="2"/>
          </rPr>
          <t xml:space="preserve">FILTRO:
</t>
        </r>
        <r>
          <rPr>
            <sz val="9"/>
            <color indexed="8"/>
            <rFont val="Tahoma"/>
            <family val="2"/>
          </rPr>
          <t>Após a conclusão do Orçamento, utilize o filtro nessa coluna com o valor "F" para ocultar linhas não utilizadas.</t>
        </r>
      </text>
    </comment>
    <comment ref="Z25" authorId="0" shapeId="0">
      <text>
        <r>
          <rPr>
            <b/>
            <sz val="9"/>
            <color indexed="8"/>
            <rFont val="Segoe UI"/>
            <family val="2"/>
          </rPr>
          <t xml:space="preserve">Valores de Contrapartida e Outros:
</t>
        </r>
        <r>
          <rPr>
            <sz val="9"/>
            <color indexed="8"/>
            <rFont val="Segoe UI"/>
            <family val="2"/>
          </rPr>
          <t>Digite somente para desbloquear valores diferentes do previsto no RRE.</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<sst xmlns="http://schemas.openxmlformats.org/spreadsheetml/2006/main" count="1710" uniqueCount="960">
  <si>
    <t>Novidades da Versão</t>
  </si>
  <si>
    <t>V3.00</t>
  </si>
  <si>
    <t>GERAL</t>
  </si>
  <si>
    <t>Lançamento: Adequação à Portaria 424/2016. Acompanhamento por Eventos.</t>
  </si>
  <si>
    <t>V3.01</t>
  </si>
  <si>
    <t>Ajustes de formatações.</t>
  </si>
  <si>
    <t>PO</t>
  </si>
  <si>
    <t>Correção da aplicação do BDI não desonerado.</t>
  </si>
  <si>
    <t>Inclusão de coluna exclusiva "Preço Unitário Edital", para o Modo 'Orçamento Licitado'.</t>
  </si>
  <si>
    <t>V3.02</t>
  </si>
  <si>
    <t>Correção do Problema de Guias ocultas no BROFFICE.</t>
  </si>
  <si>
    <t>ORÇAMENTO</t>
  </si>
  <si>
    <t>Ampliada obtenção de dados da Planilha Referência de 20.000 para 65.536 linhas.</t>
  </si>
  <si>
    <t>CRONOGRAMA</t>
  </si>
  <si>
    <t>Correção na formulação do total acumulado por Repasse, CP e Outros</t>
  </si>
  <si>
    <t>QCI</t>
  </si>
  <si>
    <t>Correção na formulação do arredondamento no rateio dos valores do QCI.</t>
  </si>
  <si>
    <t>RRE</t>
  </si>
  <si>
    <t>Correção na formulação do total por Repasse, CP e Outros.</t>
  </si>
  <si>
    <t>V3.03</t>
  </si>
  <si>
    <t>CÁLCULO</t>
  </si>
  <si>
    <t>Corrigida lentidão e travamento ao incluir e excluir frentes.</t>
  </si>
  <si>
    <t>V3.04</t>
  </si>
  <si>
    <t>BDI</t>
  </si>
  <si>
    <t>Correção da CPRB que exibia 4,5% mesmo quando não desonerado.</t>
  </si>
  <si>
    <t>Correção da distribuição de Repasse, CP e Outros para as metas manuais.</t>
  </si>
  <si>
    <t>Adicionado botão para adotar a CP do QCI como CP do contrato (zera saldo a reprogramar de CP).</t>
  </si>
  <si>
    <t>V3.05</t>
  </si>
  <si>
    <t>Corrigido modo de Cálculo da Planilha para Automático.</t>
  </si>
  <si>
    <t>V3.06</t>
  </si>
  <si>
    <t>Adicionado modo de arredondamento para compatibilidade com o TransfereGOV, altera na aba DADOS</t>
  </si>
  <si>
    <t>A planilha passará a ser disponibilizada com o formato .xlsm. Deve ser usado arquivo referência 1.9 ou superior, também no formato .xlsm</t>
  </si>
  <si>
    <t>V3.07</t>
  </si>
  <si>
    <t>Alterada a posição da aba NOVO para antes da aba MENU.</t>
  </si>
  <si>
    <t>Alterada a posição da aba CÁLCULO para depois da aba EVENTOS. Pois, no caso de acompanhamento por PLE, a lista supensa na coluna "Nº  Agrupador de Eventos" na aba CÁLCULO depende do preenchimento prévio da aba EVENTOS.</t>
  </si>
  <si>
    <t>Alterada a posição da aba CRONO para depois da aba CRONOPLE. Pois, no caso de acompanhamento por PLE, a aba CRONO tem o preenchimento automático a partir da aba CRONOPLE.</t>
  </si>
  <si>
    <t>Alterada a posição da aba PLE para depois da aba QCI. Com a finalidade de deixar agrupadas todas as abas de acompanhamento (PLE, BM, RRE, OFÍCIO).</t>
  </si>
  <si>
    <t>Acrescentados botões de navegação (cor azul claro) em várias abas. Em relação a esses botões, também foram ajustados os links, nomes e formatação.</t>
  </si>
  <si>
    <t>Criada macro para exibir apenas as abas pertinentes (exemplo: caso o acompanhamento seja por PLE, a aba BM fica oculta).</t>
  </si>
  <si>
    <t>Ajuste na macro para correção automática do Nº AGRUPADOR DE EVENTOS na aba CÁLCULO, quando se ADCIONAR ou EXCLUIR LINHAS na aba EVENTOS.</t>
  </si>
  <si>
    <t>MENU</t>
  </si>
  <si>
    <t>Acrescentado o botão "IMPORTAR DE OUTROS MODELOS CAIXA": PO (MO27476); PLE (MO27477); e QCI (MO41211).</t>
  </si>
  <si>
    <t xml:space="preserve">Acrescentado o botão de seleção "Importar Fórmulas para o Custo Unitário (aba ORÇAMENTO)". </t>
  </si>
  <si>
    <t>Caso selecionada, será importada a fórmula (se houver) do custo unitário; Caso desmarcada, será importado somente o valor.</t>
  </si>
  <si>
    <t xml:space="preserve">Acrescentado o botão de seleção "Importar Fórmulas para as Quantidades da PLQ (aba CÁLCULO)". </t>
  </si>
  <si>
    <t>Caso selecionada, será importada a fórmula (se houver) do quantitativo; Caso desmarcada, será importado somente o valor.</t>
  </si>
  <si>
    <t>Atualizada a macro de Importação para incluir a importar da coluna "Nº Agrupador de Eventos" da aba CÁLCULO.</t>
  </si>
  <si>
    <t>Atualizada a macro de Imprimir Documentos (para englobar as abas EVENTOS e CRONOPLE).</t>
  </si>
  <si>
    <t>Ajuste automático do valor da CPRB em função da data base do orçamento (para atendimento do Art. 9-A da Lei 12.546 de 14/12/2011).</t>
  </si>
  <si>
    <t>EVENTOS</t>
  </si>
  <si>
    <t>Acrescentados os dados de identificação do Contrato de Repasse.</t>
  </si>
  <si>
    <t>Acrescentadas as colunas dos totais dos Eventos por Frentes de Obra.</t>
  </si>
  <si>
    <t>Acrescentados os dados de Local, Data e Responsável Técnico.</t>
  </si>
  <si>
    <t>Acrescentado FILTRO para exibir apenas as linhas preenchidas.</t>
  </si>
  <si>
    <t>CRONOPLE</t>
  </si>
  <si>
    <t>Acrescentado o quadro "Cronograma" com percentual e valor da parcela e percentual e valor acumulado.</t>
  </si>
  <si>
    <t>Correção na fórmula da data, para replicar a “Data de fechamento do RRE” na aba DADOS.</t>
  </si>
  <si>
    <t>OFÍCIO</t>
  </si>
  <si>
    <t>Exclusão do quadro "Resumo de Valores por CTEF".</t>
  </si>
  <si>
    <t>V3.08</t>
  </si>
  <si>
    <t>Incluídos alertas de erro de preenchimento em todas as abas.</t>
  </si>
  <si>
    <t>Incluído botão de macro para gerar arquivo (em xlsx) para upload da PO e CFF no TransfereGOV.</t>
  </si>
  <si>
    <t>Ajustada a macro "Importar de outra Planilha Múltipla" para importar o Cronograma da aba CRONO. Também foram incluídas as importações dos campos: Data do preenchimento (DADOS), Data de fechamento do RRE (DADOS); nº da 1ª Parcela do Cronograma (CRONO), mês da 1ª Parcela do Cronograma (CRONO), nº da Medição (BM) e nº da Medição (PLE).</t>
  </si>
  <si>
    <t>Incluída a informação do progresso na macro "Importar de outra Planilha Múltipla", por meio de uma barra de progresso (janela que será exibida na tela) e da indicação das etapas de importação na barra de status do Excel (canto inferior esquerdo da janela do Excel).</t>
  </si>
  <si>
    <t>Incluídos botões de navegação para os formulários de BDI (BDI 1, BDI 2, BDI 3).</t>
  </si>
  <si>
    <t>Incluído botão de macro para padronizar as siglas de unidades, conforme lista de siglas válidas no TransfereGOV.</t>
  </si>
  <si>
    <t>O Título de Evento "Administração Local" com preenchimento automático proporcional agora é exibido apenas no modo Arredondamento de Frentes "Tradicional" e para a opção Agrupadores de Eventos "Definir Manualmente".</t>
  </si>
  <si>
    <t>Não é mais possível deixar Eventos em branco (sem nome ou sem valor).</t>
  </si>
  <si>
    <t>Não é mais possível deixar Frentes de Obra em branco (sem nome ou sem quantidades).</t>
  </si>
  <si>
    <t>Incluído campo para selecionar o Título do Evento referente à Administração Local (acompanhamento por PLE).</t>
  </si>
  <si>
    <t>Incluída linha com o percentual acumulado da Administração Local em cada período.</t>
  </si>
  <si>
    <t>CRONO</t>
  </si>
  <si>
    <t>Ajustada a fórmula do % acumulado a partir da parcela 13 (para manter o padrão da fórmula das parcelas 1 a 12).</t>
  </si>
  <si>
    <t>Incluído campo para selecionar o Macrosserviço referente à Administração Local (acompanhamento por BM).</t>
  </si>
  <si>
    <t>Incluída linha com o percentual acumulado da Administração Local em cada parcela.</t>
  </si>
  <si>
    <t>Corrigida a fórmula do % no quadro "Percentual previsto em:". Que estava limitada a buscar o % previsto até a parcela 12.</t>
  </si>
  <si>
    <t>PLE</t>
  </si>
  <si>
    <t>Incluída linha com o percentual acumulado da Administração Local em cada medição.</t>
  </si>
  <si>
    <t>BM</t>
  </si>
  <si>
    <t>Incluído campo com o percentual medido acumulado da Administração Local.</t>
  </si>
  <si>
    <t>V3.09</t>
  </si>
  <si>
    <t>Atualizada a macro "Gerar arquivo para upload no TransfereGOV" para ajustar os códigos de composições SINAPI (acrescentar zeros a esquerda até completar dez dígitos) para Data base igual ou superior a JAN/2025.</t>
  </si>
  <si>
    <t>Acrescentada formatação condicional na coluna "Descrição" para exibir os textos de alerta de erro, textos que começam com "(", na cor vermelha.</t>
  </si>
  <si>
    <t>Corrigida a macro dos botões de navegação para os formulários do BDI.</t>
  </si>
  <si>
    <t>PM</t>
  </si>
  <si>
    <t>v3.10</t>
  </si>
  <si>
    <t>Proposto</t>
  </si>
  <si>
    <t>DADOS DO CONTRATO</t>
  </si>
  <si>
    <t>NOVIDADES DA VERSÃO</t>
  </si>
  <si>
    <t>Licitado</t>
  </si>
  <si>
    <t>LEGENDA:</t>
  </si>
  <si>
    <r>
      <t xml:space="preserve">Cores das </t>
    </r>
    <r>
      <rPr>
        <b/>
        <sz val="10"/>
        <rFont val="Arial"/>
        <family val="2"/>
      </rPr>
      <t>células</t>
    </r>
    <r>
      <rPr>
        <sz val="10"/>
        <rFont val="Arial"/>
        <family val="2"/>
      </rPr>
      <t>:</t>
    </r>
  </si>
  <si>
    <t>Fundo amarelo: células para preencher</t>
  </si>
  <si>
    <t>Fundo azul: células para seleção de opções</t>
  </si>
  <si>
    <r>
      <t xml:space="preserve">Cores dos </t>
    </r>
    <r>
      <rPr>
        <b/>
        <sz val="10"/>
        <rFont val="Arial"/>
        <family val="2"/>
      </rPr>
      <t>botões</t>
    </r>
    <r>
      <rPr>
        <sz val="10"/>
        <rFont val="Arial"/>
        <family val="2"/>
      </rPr>
      <t>:</t>
    </r>
  </si>
  <si>
    <t>Fundo azul claro: navegação entre abas</t>
  </si>
  <si>
    <t>Fundo laranja: execução de macro</t>
  </si>
  <si>
    <t>A. DOCUMENTAÇÃO DA PROPOSTA</t>
  </si>
  <si>
    <t>Sub-Itens de Investimento</t>
  </si>
  <si>
    <t>Unidades válidas no Tgov</t>
  </si>
  <si>
    <t>Itens de Investimento</t>
  </si>
  <si>
    <t>Unidades habitacionais</t>
  </si>
  <si>
    <t>Equipamentos comunitários</t>
  </si>
  <si>
    <t>Pavimentação</t>
  </si>
  <si>
    <t xml:space="preserve">Drenagem </t>
  </si>
  <si>
    <t>Abastecimento de água</t>
  </si>
  <si>
    <t>Esgotamento sanitário</t>
  </si>
  <si>
    <t>Energia elétrica e iluminação pública</t>
  </si>
  <si>
    <t>Coleta e tratamento de resíduos sólidos</t>
  </si>
  <si>
    <t xml:space="preserve">Contenção e estabilização de encostas </t>
  </si>
  <si>
    <t>Regularização fundiária</t>
  </si>
  <si>
    <t>Aquisição de terreno</t>
  </si>
  <si>
    <t>Aquisição de equipamentos e insumos</t>
  </si>
  <si>
    <t>Elaboração de estudos e projetos</t>
  </si>
  <si>
    <t>Instrumentos e ações em planejamento e gestão pública</t>
  </si>
  <si>
    <t>Ações complementares às obras</t>
  </si>
  <si>
    <t>Gerenciamento</t>
  </si>
  <si>
    <t>Trabalho social</t>
  </si>
  <si>
    <t>Sigla</t>
  </si>
  <si>
    <t>Descrição</t>
  </si>
  <si>
    <t>Dados do Contrato (Inicial)</t>
  </si>
  <si>
    <t>Aquisição</t>
  </si>
  <si>
    <t>un</t>
  </si>
  <si>
    <t>Convivência comunitária, assistência social e/ou comunitária</t>
  </si>
  <si>
    <t>m²</t>
  </si>
  <si>
    <t>Capeamento de vias</t>
  </si>
  <si>
    <t xml:space="preserve">Obras de microdrenagem </t>
  </si>
  <si>
    <t>m</t>
  </si>
  <si>
    <t>Captação subterrânea</t>
  </si>
  <si>
    <t>m³/s</t>
  </si>
  <si>
    <t>Ligações domiciliares e/ou intradomiciliares</t>
  </si>
  <si>
    <t>Iluminação pública - luminárias</t>
  </si>
  <si>
    <t xml:space="preserve">Acondicionamento </t>
  </si>
  <si>
    <t>Estabilização de taludes</t>
  </si>
  <si>
    <t>Desapropriacões/Indenizações</t>
  </si>
  <si>
    <t>Avaliação pós intervenção</t>
  </si>
  <si>
    <t>%CT</t>
  </si>
  <si>
    <t>Projeto de Trabalho Social Preliminar</t>
  </si>
  <si>
    <t>nº fam</t>
  </si>
  <si>
    <t>Fonte de recursos:</t>
  </si>
  <si>
    <t>(SELECIONAR)</t>
  </si>
  <si>
    <t>Construção</t>
  </si>
  <si>
    <t>Educação e cultura</t>
  </si>
  <si>
    <t>Recapeamento de vias</t>
  </si>
  <si>
    <t>Desassoreamento de cursos de água</t>
  </si>
  <si>
    <t>Captação superficial</t>
  </si>
  <si>
    <t>Rede coletora e/ou condominial</t>
  </si>
  <si>
    <t>Ligações domiciliares</t>
  </si>
  <si>
    <t>Aterro sanitário e/ou disposição final</t>
  </si>
  <si>
    <t>m³</t>
  </si>
  <si>
    <t>Obras complementares a ações de redução de risco e/ou contenções</t>
  </si>
  <si>
    <t>Projeto de Regularização Fundiária</t>
  </si>
  <si>
    <t>Benfeitorias</t>
  </si>
  <si>
    <t>Demolições</t>
  </si>
  <si>
    <t>Projeto de Trabalho Social</t>
  </si>
  <si>
    <t>°C</t>
  </si>
  <si>
    <t>GRAU CELSIUS</t>
  </si>
  <si>
    <t>Proponente/Tomador:</t>
  </si>
  <si>
    <t>Reforma e/ou melhoria</t>
  </si>
  <si>
    <t>Esportes</t>
  </si>
  <si>
    <t>Obras de artes especiais</t>
  </si>
  <si>
    <t>Canalização de cursos de água</t>
  </si>
  <si>
    <t>Estação de bombeamento de água bruta</t>
  </si>
  <si>
    <t>Coletor tronco e/ou interceptores</t>
  </si>
  <si>
    <t xml:space="preserve">Linhas de distribuição - baixa tensão </t>
  </si>
  <si>
    <t>Erradicação de lixões</t>
  </si>
  <si>
    <t>Plano de Reassentamento e medidas compensatórias</t>
  </si>
  <si>
    <t>Plano de Desenvolvimento Socioterritorial</t>
  </si>
  <si>
    <t>°F</t>
  </si>
  <si>
    <t>GRAU FAHRENHEIT</t>
  </si>
  <si>
    <t>Município/UF:</t>
  </si>
  <si>
    <t>Lazer e turismo</t>
  </si>
  <si>
    <t>Pavimentação de calçadas</t>
  </si>
  <si>
    <t>Recomposição de vegetação ciliar, renaturalização de cursos de água ou restauração de margens</t>
  </si>
  <si>
    <t>Adução</t>
  </si>
  <si>
    <t>Emissário</t>
  </si>
  <si>
    <t xml:space="preserve">Linhas de transmissão - alta tensão </t>
  </si>
  <si>
    <t>Sistema de coleta seletiva tradicional, transporte e/ou equipamentos</t>
  </si>
  <si>
    <t>Plano de Gestão Condominial</t>
  </si>
  <si>
    <t>100M</t>
  </si>
  <si>
    <t>100 METROS</t>
  </si>
  <si>
    <t>Nº da Operação (0000000-00):</t>
  </si>
  <si>
    <t>Saúde</t>
  </si>
  <si>
    <t>Pavimentação de vias</t>
  </si>
  <si>
    <t>Reservatório de amortecimento de cheias</t>
  </si>
  <si>
    <t>Estação de Tratamento de Água (ETA)</t>
  </si>
  <si>
    <t>Estação Elevatória</t>
  </si>
  <si>
    <t xml:space="preserve">Tratamento local </t>
  </si>
  <si>
    <t>18L</t>
  </si>
  <si>
    <t>18 LITROS</t>
  </si>
  <si>
    <t>Nº do TransfereGOV (000000):</t>
  </si>
  <si>
    <t>Segurança pública</t>
  </si>
  <si>
    <t>Sinalização</t>
  </si>
  <si>
    <t>Estação de Bombeamento</t>
  </si>
  <si>
    <t>Estação de bombeamento de água tratada</t>
  </si>
  <si>
    <t>Estação de Tratamento de Esgoto (ETE)</t>
  </si>
  <si>
    <t xml:space="preserve">Usinas de reciclagem </t>
  </si>
  <si>
    <t>200KG</t>
  </si>
  <si>
    <t>200 QUILOS</t>
  </si>
  <si>
    <t>Linha de recalque</t>
  </si>
  <si>
    <t>Sistema simplificado de tratamento</t>
  </si>
  <si>
    <t>250G</t>
  </si>
  <si>
    <t>250 GRAMAS</t>
  </si>
  <si>
    <t>Valor de Contrapartida Contratada (R$):</t>
  </si>
  <si>
    <t>Reservação</t>
  </si>
  <si>
    <t>Unidades sanitárias</t>
  </si>
  <si>
    <t>310ML</t>
  </si>
  <si>
    <t>310 MILILITROS</t>
  </si>
  <si>
    <t>% mínimo de Contrapartida:</t>
  </si>
  <si>
    <t>Rede de distribuição</t>
  </si>
  <si>
    <t>50KG</t>
  </si>
  <si>
    <t>50 QUILOS</t>
  </si>
  <si>
    <t>R$ mínimo de Contrapartida (se houver):</t>
  </si>
  <si>
    <t>A</t>
  </si>
  <si>
    <t>AMPÈRE</t>
  </si>
  <si>
    <t>% máximo de Contrapartida:</t>
  </si>
  <si>
    <t>Sistema simplificado de abastecimento</t>
  </si>
  <si>
    <t>ACA/ACC</t>
  </si>
  <si>
    <t>A.CORR.ALTERN/CONT.</t>
  </si>
  <si>
    <t>AH</t>
  </si>
  <si>
    <t>AMPÈRE HORA</t>
  </si>
  <si>
    <t>Dados do Empreendimento e Orçamento</t>
  </si>
  <si>
    <t>AH/H/V</t>
  </si>
  <si>
    <t>AMPÉRE-H/H/VOLT</t>
  </si>
  <si>
    <t>Nome/apelido:</t>
  </si>
  <si>
    <t>AM</t>
  </si>
  <si>
    <t>AMPOLA</t>
  </si>
  <si>
    <t>Descrição do Objeto do Lote / CTEF:</t>
  </si>
  <si>
    <t>AM0/4ML</t>
  </si>
  <si>
    <t>AMPOLA COM 0,4 Ml</t>
  </si>
  <si>
    <t>Regime previdenciário previsto para a obra:</t>
  </si>
  <si>
    <t>AM0/5ML</t>
  </si>
  <si>
    <t>AMPOLA COM 0,5 mL</t>
  </si>
  <si>
    <t>Data base do Orçamento:</t>
  </si>
  <si>
    <t>AM1/5ML</t>
  </si>
  <si>
    <t>AMPOLA COM 1,5 mL</t>
  </si>
  <si>
    <t>AM10ML</t>
  </si>
  <si>
    <t>AMPOLA COM 10 mL</t>
  </si>
  <si>
    <t>Responsável pelo Orçamento</t>
  </si>
  <si>
    <t>AM1ML</t>
  </si>
  <si>
    <t>AMPOLA COM 1 mL</t>
  </si>
  <si>
    <t>Nome:</t>
  </si>
  <si>
    <t>AM2/5ML</t>
  </si>
  <si>
    <t>AMPOLA COM 2,5 mL</t>
  </si>
  <si>
    <t>CREA/CAU:</t>
  </si>
  <si>
    <t>AM2ML</t>
  </si>
  <si>
    <t>AMPOLA COM 2 mL</t>
  </si>
  <si>
    <t>ART/RRT:</t>
  </si>
  <si>
    <t>AM3ML</t>
  </si>
  <si>
    <t>AMPOLA COM 3 mL</t>
  </si>
  <si>
    <t>Data do preenchimento:</t>
  </si>
  <si>
    <t/>
  </si>
  <si>
    <t>AM4ML</t>
  </si>
  <si>
    <t>AMPOLA COM 4 mL</t>
  </si>
  <si>
    <t>AM5ML</t>
  </si>
  <si>
    <t>AMPOLA COM 5 mL</t>
  </si>
  <si>
    <t>Responsável pelo Tomador (Prefeito, no caso de Municípios)</t>
  </si>
  <si>
    <t>AM6ML</t>
  </si>
  <si>
    <t>AMPOLA COM 6 mL</t>
  </si>
  <si>
    <t>AM7ML</t>
  </si>
  <si>
    <t>AMPOLA COM 7 mL</t>
  </si>
  <si>
    <t>Cargo:</t>
  </si>
  <si>
    <t>ANO</t>
  </si>
  <si>
    <t>ANO/ANOS</t>
  </si>
  <si>
    <t>ANOS</t>
  </si>
  <si>
    <t>Arredondamento das frentes:</t>
  </si>
  <si>
    <t>TransfereGOV</t>
  </si>
  <si>
    <t>ARR</t>
  </si>
  <si>
    <t>ARROBA</t>
  </si>
  <si>
    <t>AWG</t>
  </si>
  <si>
    <t>AMERICAN WIRE GAUGE</t>
  </si>
  <si>
    <t>B. RESULTADO DO PROCESSO LICITATÓRIO</t>
  </si>
  <si>
    <t>BAR</t>
  </si>
  <si>
    <t>BARRIL</t>
  </si>
  <si>
    <t>BAR.</t>
  </si>
  <si>
    <t>Licitação</t>
  </si>
  <si>
    <t>BD</t>
  </si>
  <si>
    <t>BALDE</t>
  </si>
  <si>
    <t>Data de emissão dos documentos de licitação:</t>
  </si>
  <si>
    <t>BIS</t>
  </si>
  <si>
    <t>BISNAGA</t>
  </si>
  <si>
    <t>Nº do CTEF (contrato com empresa):</t>
  </si>
  <si>
    <t>BIS/GL</t>
  </si>
  <si>
    <t>BISNAGA POR GALÃO</t>
  </si>
  <si>
    <t>Nome da empresa:</t>
  </si>
  <si>
    <t>BIS1/65G</t>
  </si>
  <si>
    <t>BISNAGA COM 1,65 g</t>
  </si>
  <si>
    <t>CNPJ da empresa:</t>
  </si>
  <si>
    <t>BIS1/8G</t>
  </si>
  <si>
    <t>BISNAGA COM 1,8 g</t>
  </si>
  <si>
    <t>Regime de execução do CTEF:</t>
  </si>
  <si>
    <t>BIS100G</t>
  </si>
  <si>
    <t>BISNAGA COM 100 g</t>
  </si>
  <si>
    <t>Data base do CTEF:</t>
  </si>
  <si>
    <t>BIS10G</t>
  </si>
  <si>
    <t>BISNAGA COM 10 g</t>
  </si>
  <si>
    <t>BIS135G</t>
  </si>
  <si>
    <t>BISNAGA COM 135 g</t>
  </si>
  <si>
    <t>BIS13G</t>
  </si>
  <si>
    <t>BISNAGA COM 13 g</t>
  </si>
  <si>
    <t>C. ACOMPANHAMENTO DO EMPREENDIMENTO</t>
  </si>
  <si>
    <t>BIS14G</t>
  </si>
  <si>
    <t>BISNAGA COM 14 g</t>
  </si>
  <si>
    <t>BIS15G</t>
  </si>
  <si>
    <t>BISNAGA COM 15 g</t>
  </si>
  <si>
    <t>Dados da obra</t>
  </si>
  <si>
    <t>BIS1G</t>
  </si>
  <si>
    <t>BISNAGA COM 1 g</t>
  </si>
  <si>
    <t>Data do Início da Obra:</t>
  </si>
  <si>
    <t>BIS20G</t>
  </si>
  <si>
    <t>BISNAGA COM 20 g</t>
  </si>
  <si>
    <t>Data de fechamento do RRE:</t>
  </si>
  <si>
    <t>BIS25G</t>
  </si>
  <si>
    <t>BISNAGA COM 25 g</t>
  </si>
  <si>
    <t>BIS28/8G</t>
  </si>
  <si>
    <t>BISNAGA COM 28,8 g</t>
  </si>
  <si>
    <t>Responsável pela Fiscalização</t>
  </si>
  <si>
    <t>BIS28G</t>
  </si>
  <si>
    <t>BISNAGA COM 28 g</t>
  </si>
  <si>
    <t>BIS2G</t>
  </si>
  <si>
    <t>BISNAGA COM 2 g</t>
  </si>
  <si>
    <t>Profissão:</t>
  </si>
  <si>
    <t>BIS3/5G</t>
  </si>
  <si>
    <t>BISNAGA COM 3,5 g</t>
  </si>
  <si>
    <t>CREA/CAU (para obras/projetos):</t>
  </si>
  <si>
    <t>BIS30G</t>
  </si>
  <si>
    <t>BISNAGA COM 30 g</t>
  </si>
  <si>
    <t>ART/RRT (para obras/projetos):</t>
  </si>
  <si>
    <t>BIS30ML</t>
  </si>
  <si>
    <t>BISNAGA COM 30 mL</t>
  </si>
  <si>
    <t>BIS40G</t>
  </si>
  <si>
    <t>BISNAGA COM 40 g</t>
  </si>
  <si>
    <t>BIS43G</t>
  </si>
  <si>
    <t>BISNAGA COM 43 g</t>
  </si>
  <si>
    <t>D. ACOMPANHAMENTO CAIXA</t>
  </si>
  <si>
    <t>BIS45G</t>
  </si>
  <si>
    <t>BISNAGA COM 45 g</t>
  </si>
  <si>
    <t>BIS47G</t>
  </si>
  <si>
    <t>BISNAGA COM 47 g</t>
  </si>
  <si>
    <t>Responsável Gerencial</t>
  </si>
  <si>
    <t>BIS4G</t>
  </si>
  <si>
    <t>BISNAGA COM 4 g</t>
  </si>
  <si>
    <t>BIS50G</t>
  </si>
  <si>
    <t>BISNAGA COM 50 g</t>
  </si>
  <si>
    <t>Função:</t>
  </si>
  <si>
    <t>BIS55G</t>
  </si>
  <si>
    <t>BISNAGA COM 55 g</t>
  </si>
  <si>
    <t>BIS56G</t>
  </si>
  <si>
    <t>BISNAGA COM 56 g</t>
  </si>
  <si>
    <t>BIS5G</t>
  </si>
  <si>
    <t>BISNAGA COM 5 g</t>
  </si>
  <si>
    <t>BIS60G</t>
  </si>
  <si>
    <t>BISNAGA COM 60 g</t>
  </si>
  <si>
    <t>BIS6G</t>
  </si>
  <si>
    <t>BISNAGA COM 6 g</t>
  </si>
  <si>
    <t>BIS7/5G</t>
  </si>
  <si>
    <t>BISNAGA COM 7,5 g</t>
  </si>
  <si>
    <t>BIS70G</t>
  </si>
  <si>
    <t>BISNAGA COM 70 g</t>
  </si>
  <si>
    <t>BIS80G</t>
  </si>
  <si>
    <t>BISNAGA COM 80 g</t>
  </si>
  <si>
    <t>BIS90G</t>
  </si>
  <si>
    <t>BISNAGA COM 90 g</t>
  </si>
  <si>
    <t>BIT</t>
  </si>
  <si>
    <t>BITS</t>
  </si>
  <si>
    <t>BL</t>
  </si>
  <si>
    <t>BLOCO</t>
  </si>
  <si>
    <t>BLIS</t>
  </si>
  <si>
    <t>BLISTER</t>
  </si>
  <si>
    <t>BLIS21CP</t>
  </si>
  <si>
    <t>BLISTER COM 21 COMPRIMIDOS</t>
  </si>
  <si>
    <t>BLIS35CP</t>
  </si>
  <si>
    <t>BLISTER COM 35 COMPRIMIDOS</t>
  </si>
  <si>
    <t>BOB</t>
  </si>
  <si>
    <t>BOBINA</t>
  </si>
  <si>
    <t>BOL</t>
  </si>
  <si>
    <t>BOLSA</t>
  </si>
  <si>
    <t>BOM</t>
  </si>
  <si>
    <t>BOMBONA</t>
  </si>
  <si>
    <t>BPM</t>
  </si>
  <si>
    <t>BATIDA POR MINUTO</t>
  </si>
  <si>
    <t>BPS</t>
  </si>
  <si>
    <t>BYTE POR SEGUNDO</t>
  </si>
  <si>
    <t>BR</t>
  </si>
  <si>
    <t>BARRA</t>
  </si>
  <si>
    <t>BRI</t>
  </si>
  <si>
    <t>BARRICA</t>
  </si>
  <si>
    <t>BTJ</t>
  </si>
  <si>
    <t>BOTIJÃO</t>
  </si>
  <si>
    <t>BTU</t>
  </si>
  <si>
    <t>BRITISH THERMAL UNIT</t>
  </si>
  <si>
    <t>BTU/H</t>
  </si>
  <si>
    <t>BTU POR HORA</t>
  </si>
  <si>
    <t>BWG</t>
  </si>
  <si>
    <t>FIEIRA DE BIRMINGHAN</t>
  </si>
  <si>
    <t>C</t>
  </si>
  <si>
    <t>CENTENA</t>
  </si>
  <si>
    <t>CA</t>
  </si>
  <si>
    <t>CARTUCHO</t>
  </si>
  <si>
    <t>CAD</t>
  </si>
  <si>
    <t>CADERNO</t>
  </si>
  <si>
    <t>CAL/G</t>
  </si>
  <si>
    <t>CALORIA/GRAMA</t>
  </si>
  <si>
    <t>CAPS</t>
  </si>
  <si>
    <t>CÁPSULA</t>
  </si>
  <si>
    <t>CAR</t>
  </si>
  <si>
    <t>CARACTER</t>
  </si>
  <si>
    <t>CC</t>
  </si>
  <si>
    <t>CILINDRADA</t>
  </si>
  <si>
    <t>CD</t>
  </si>
  <si>
    <t>CANDELA</t>
  </si>
  <si>
    <t>CD/M2</t>
  </si>
  <si>
    <t>CANDELA/METRO 2</t>
  </si>
  <si>
    <t>CENTO</t>
  </si>
  <si>
    <t>CG</t>
  </si>
  <si>
    <t>CENTIGRAMA</t>
  </si>
  <si>
    <t>CH</t>
  </si>
  <si>
    <t>CHAPA</t>
  </si>
  <si>
    <t>CHI</t>
  </si>
  <si>
    <t>CHP</t>
  </si>
  <si>
    <t>CI</t>
  </si>
  <si>
    <t>CURIE</t>
  </si>
  <si>
    <t>CIL</t>
  </si>
  <si>
    <t>CILINDRO</t>
  </si>
  <si>
    <t>CIN</t>
  </si>
  <si>
    <t>CINQUENTA</t>
  </si>
  <si>
    <t>CJ</t>
  </si>
  <si>
    <t>CONJUNTO</t>
  </si>
  <si>
    <t>CL</t>
  </si>
  <si>
    <t>CENTILITRO</t>
  </si>
  <si>
    <t>CM</t>
  </si>
  <si>
    <t>CENTÍMETRO</t>
  </si>
  <si>
    <t>CM/POL</t>
  </si>
  <si>
    <t>CENTÍMETRO/POLEGADA</t>
  </si>
  <si>
    <t>CM2</t>
  </si>
  <si>
    <t>CENTIMETRO QUADRADO</t>
  </si>
  <si>
    <t>CM2/H</t>
  </si>
  <si>
    <t>CENT.QUAD/HORA</t>
  </si>
  <si>
    <t>CM2/M</t>
  </si>
  <si>
    <t>CENT.QUADRADO/METRO</t>
  </si>
  <si>
    <t>CM3</t>
  </si>
  <si>
    <t>CENTÍMETRO CÚBICO</t>
  </si>
  <si>
    <t>CM³/H</t>
  </si>
  <si>
    <t>CENT.CÚBICO POR HORA</t>
  </si>
  <si>
    <t>CM³/MIN</t>
  </si>
  <si>
    <t>CM³/MINUTO</t>
  </si>
  <si>
    <t>CNT</t>
  </si>
  <si>
    <t>RECIPIENTE</t>
  </si>
  <si>
    <t>CO</t>
  </si>
  <si>
    <t>CONTEINER</t>
  </si>
  <si>
    <t>COL</t>
  </si>
  <si>
    <t>COLEÇÃO</t>
  </si>
  <si>
    <t>COMP</t>
  </si>
  <si>
    <t>COMPRIMENTO</t>
  </si>
  <si>
    <t>COMPR</t>
  </si>
  <si>
    <t>COMPRIMIDO</t>
  </si>
  <si>
    <t>CÓPIA</t>
  </si>
  <si>
    <t>COPO</t>
  </si>
  <si>
    <t>CP</t>
  </si>
  <si>
    <t>CENTIPOISE</t>
  </si>
  <si>
    <t>CPL</t>
  </si>
  <si>
    <t>CARACTERES POR LINHA</t>
  </si>
  <si>
    <t>CPM</t>
  </si>
  <si>
    <t>CÓPIA POR MINUTO</t>
  </si>
  <si>
    <t>CPS</t>
  </si>
  <si>
    <t>CARACTER POR SEGUNDO</t>
  </si>
  <si>
    <t>CRT</t>
  </si>
  <si>
    <t>CARRETEL</t>
  </si>
  <si>
    <t>CS</t>
  </si>
  <si>
    <t>GRADEADO DE JAULA</t>
  </si>
  <si>
    <t>CST</t>
  </si>
  <si>
    <t>CENTISTOCKS</t>
  </si>
  <si>
    <t>CT</t>
  </si>
  <si>
    <t>CARTAO</t>
  </si>
  <si>
    <t>CTE</t>
  </si>
  <si>
    <t>CARTELA</t>
  </si>
  <si>
    <t>CV</t>
  </si>
  <si>
    <t>CAVALO VAPOR</t>
  </si>
  <si>
    <t>CX</t>
  </si>
  <si>
    <t>CAIXA</t>
  </si>
  <si>
    <t>CX100UN</t>
  </si>
  <si>
    <t>CAIXA COM 100 UNIDADES</t>
  </si>
  <si>
    <t>CX40UN</t>
  </si>
  <si>
    <t>CAIXA COM 40 UNIDADES</t>
  </si>
  <si>
    <t>D</t>
  </si>
  <si>
    <t>DIA</t>
  </si>
  <si>
    <t>DAG</t>
  </si>
  <si>
    <t>DECAGRAMA</t>
  </si>
  <si>
    <t>DAL</t>
  </si>
  <si>
    <t>DECALITRO</t>
  </si>
  <si>
    <t>DAM</t>
  </si>
  <si>
    <t>DECAMETRO</t>
  </si>
  <si>
    <t>DAN</t>
  </si>
  <si>
    <t>DECANEWTON</t>
  </si>
  <si>
    <t>DB</t>
  </si>
  <si>
    <t>DECIBEL</t>
  </si>
  <si>
    <t>DBM</t>
  </si>
  <si>
    <t>DECIBEL MILIWATT</t>
  </si>
  <si>
    <t>DG</t>
  </si>
  <si>
    <t>DECIGRAMA</t>
  </si>
  <si>
    <t>DGT</t>
  </si>
  <si>
    <t>DÍGITO</t>
  </si>
  <si>
    <t>DIAS</t>
  </si>
  <si>
    <t>DISCO</t>
  </si>
  <si>
    <t>DL</t>
  </si>
  <si>
    <t>DM</t>
  </si>
  <si>
    <t>DECIMETRO</t>
  </si>
  <si>
    <t>DM2</t>
  </si>
  <si>
    <t>DECIMETRO QUADRADO</t>
  </si>
  <si>
    <t>DM3</t>
  </si>
  <si>
    <t>DECIMETRO CUBICO</t>
  </si>
  <si>
    <t>DOSES</t>
  </si>
  <si>
    <t>DPI</t>
  </si>
  <si>
    <t>PONTOS DE DEFINIÇÃO</t>
  </si>
  <si>
    <t>DPT</t>
  </si>
  <si>
    <t>DIOPTRIA</t>
  </si>
  <si>
    <t>DRAG</t>
  </si>
  <si>
    <t>DRÁGEA</t>
  </si>
  <si>
    <t>DZ</t>
  </si>
  <si>
    <t>DUZIA</t>
  </si>
  <si>
    <t>EMB</t>
  </si>
  <si>
    <t>EMBALAGEM</t>
  </si>
  <si>
    <t>EMB/H</t>
  </si>
  <si>
    <t>EMBALAGEM POR HORA</t>
  </si>
  <si>
    <t>EMP</t>
  </si>
  <si>
    <t>EMPLASTRO</t>
  </si>
  <si>
    <t>ENV</t>
  </si>
  <si>
    <t>ENVELOPE</t>
  </si>
  <si>
    <t>ENV27/9G</t>
  </si>
  <si>
    <t>ENVELOPE COM 27,9 g</t>
  </si>
  <si>
    <t>ENV30G</t>
  </si>
  <si>
    <t>ENVELOPE COM 30 g</t>
  </si>
  <si>
    <t>EQP</t>
  </si>
  <si>
    <t>EQUIPAMENTO</t>
  </si>
  <si>
    <t>EST</t>
  </si>
  <si>
    <t>ESTUDANTE</t>
  </si>
  <si>
    <t>EV</t>
  </si>
  <si>
    <t>ELÉTRON-VOLT</t>
  </si>
  <si>
    <t>F</t>
  </si>
  <si>
    <t>FARAD</t>
  </si>
  <si>
    <t>FCK</t>
  </si>
  <si>
    <t>FD</t>
  </si>
  <si>
    <t>FARDO</t>
  </si>
  <si>
    <t>FL</t>
  </si>
  <si>
    <t>FOLHA</t>
  </si>
  <si>
    <t>FLAC</t>
  </si>
  <si>
    <t>FLACONETE</t>
  </si>
  <si>
    <t>FLS/H</t>
  </si>
  <si>
    <t>FOLHAS POR HORA</t>
  </si>
  <si>
    <t>FPM</t>
  </si>
  <si>
    <t>FLASH POR MINUTO</t>
  </si>
  <si>
    <t>FPS</t>
  </si>
  <si>
    <t>FOTOS P/SEGUNDO</t>
  </si>
  <si>
    <t>FR</t>
  </si>
  <si>
    <t>FRASCO</t>
  </si>
  <si>
    <t>FR1000ML</t>
  </si>
  <si>
    <t>FRASCO COM 1000 mL</t>
  </si>
  <si>
    <t>FR100DS</t>
  </si>
  <si>
    <t>FRASCO COM 100 DOSES</t>
  </si>
  <si>
    <t>FR100ML</t>
  </si>
  <si>
    <t>FRASCO COM 100 mL</t>
  </si>
  <si>
    <t>FR105ML</t>
  </si>
  <si>
    <t>FRASCO COM 105 mL</t>
  </si>
  <si>
    <t>FR10ML</t>
  </si>
  <si>
    <t>FRASCO COM 10 mL</t>
  </si>
  <si>
    <t>FR110ML</t>
  </si>
  <si>
    <t>FRASCO COM 110 mL</t>
  </si>
  <si>
    <t>FR1200MG</t>
  </si>
  <si>
    <t>FRASCO COM 1200 MG</t>
  </si>
  <si>
    <t>FR120DS</t>
  </si>
  <si>
    <t>FRASCO COM 120 DOSES</t>
  </si>
  <si>
    <t>FR120ML</t>
  </si>
  <si>
    <t>FRASCO COM 120 mL</t>
  </si>
  <si>
    <t>FR125ML</t>
  </si>
  <si>
    <t>FRASCO COM 125 mL</t>
  </si>
  <si>
    <t>FR130DS</t>
  </si>
  <si>
    <t>FRASCO COM 130 DOSES</t>
  </si>
  <si>
    <t>FR1500MG</t>
  </si>
  <si>
    <t>FRASCO COM 1500 MG</t>
  </si>
  <si>
    <t>FR150DS</t>
  </si>
  <si>
    <t>FRASCO COM 150 DOSES</t>
  </si>
  <si>
    <t>FR150ML</t>
  </si>
  <si>
    <t>FRASCO COM 150 mL</t>
  </si>
  <si>
    <t>FR15ML</t>
  </si>
  <si>
    <t>FRASCO COM 15 mL</t>
  </si>
  <si>
    <t>FR160ML</t>
  </si>
  <si>
    <t>FRASCO COM 160 mL</t>
  </si>
  <si>
    <t>FR200DS</t>
  </si>
  <si>
    <t>FRASCO COM 200 DOSES</t>
  </si>
  <si>
    <t>FR200ML</t>
  </si>
  <si>
    <t>FRASCO COM 200 mL</t>
  </si>
  <si>
    <t>FR20ML</t>
  </si>
  <si>
    <t>FRASCO COM 20 mL</t>
  </si>
  <si>
    <t>FR240ML</t>
  </si>
  <si>
    <t>FRASCO COM 240 mL</t>
  </si>
  <si>
    <t>FR250ML</t>
  </si>
  <si>
    <t>FRASCO COM 250 mL</t>
  </si>
  <si>
    <t>FR300DS</t>
  </si>
  <si>
    <t>FRASCO COM 300 DOSES</t>
  </si>
  <si>
    <t>FR300ML</t>
  </si>
  <si>
    <t>FRASCO COM 300 mL</t>
  </si>
  <si>
    <t>FR30DS</t>
  </si>
  <si>
    <t>FRASCO COM 30 DOSES</t>
  </si>
  <si>
    <t>FR30G</t>
  </si>
  <si>
    <t>FRASCO COM 30 g</t>
  </si>
  <si>
    <t>FR30ML</t>
  </si>
  <si>
    <t>FRASCO COM 30 mL</t>
  </si>
  <si>
    <t>FR340ML</t>
  </si>
  <si>
    <t>FRASCO COM 340 mL</t>
  </si>
  <si>
    <t>FR350ML</t>
  </si>
  <si>
    <t>FRASCO COM 350 mL</t>
  </si>
  <si>
    <t>FR40ML</t>
  </si>
  <si>
    <t>FRASCO COM 40 mL</t>
  </si>
  <si>
    <t>FR45ML</t>
  </si>
  <si>
    <t>FRASCO COM 45 mL</t>
  </si>
  <si>
    <t>FR500ML</t>
  </si>
  <si>
    <t>FRASCO COM 500 mL</t>
  </si>
  <si>
    <t>H</t>
  </si>
  <si>
    <t>HORA</t>
  </si>
  <si>
    <t>KG</t>
  </si>
  <si>
    <t>QUILOGRAMA</t>
  </si>
  <si>
    <t>KM</t>
  </si>
  <si>
    <t>QUILOMETRO</t>
  </si>
  <si>
    <t>M</t>
  </si>
  <si>
    <t>METRO</t>
  </si>
  <si>
    <t>M2</t>
  </si>
  <si>
    <t>METRO QUADRADO</t>
  </si>
  <si>
    <t>M3</t>
  </si>
  <si>
    <t>METRO CÚBICO</t>
  </si>
  <si>
    <t>M3XKM</t>
  </si>
  <si>
    <t>MES</t>
  </si>
  <si>
    <t>MÊS</t>
  </si>
  <si>
    <t>MÊS/MESES</t>
  </si>
  <si>
    <t>MESES</t>
  </si>
  <si>
    <t>OUTRAS</t>
  </si>
  <si>
    <t>PAR</t>
  </si>
  <si>
    <t>PC</t>
  </si>
  <si>
    <t>PEÇA</t>
  </si>
  <si>
    <t>T</t>
  </si>
  <si>
    <t>TONELADA</t>
  </si>
  <si>
    <t>TXKM</t>
  </si>
  <si>
    <t>UN</t>
  </si>
  <si>
    <t>UNIDADE</t>
  </si>
  <si>
    <t>MIN</t>
  </si>
  <si>
    <t>MED</t>
  </si>
  <si>
    <t>MAX</t>
  </si>
  <si>
    <t>Grau de Sigilo</t>
  </si>
  <si>
    <t>Construção e Reforma de Edifícios</t>
  </si>
  <si>
    <t>AC</t>
  </si>
  <si>
    <t>#PUBLICO</t>
  </si>
  <si>
    <t>SG</t>
  </si>
  <si>
    <t>R</t>
  </si>
  <si>
    <t>Nº OPERAÇÃO</t>
  </si>
  <si>
    <t>Nº TRANSFEREGOV</t>
  </si>
  <si>
    <t>PROPONENTE / TOMADOR</t>
  </si>
  <si>
    <t>DF</t>
  </si>
  <si>
    <t>L</t>
  </si>
  <si>
    <t>FILTRO</t>
  </si>
  <si>
    <t>BDI PAD</t>
  </si>
  <si>
    <t>APELIDO DO EMPREENDIMENTO / DESCRIÇÃO DO LOTE</t>
  </si>
  <si>
    <t>Construção de Praças Urbanas, Rodovias, Ferrovias e recapeamento e pavimentação de vias urbanas</t>
  </si>
  <si>
    <t>Conforme legislação tributária municipal, definir estimativa de percentual da base de cálculo para o ISS:</t>
  </si>
  <si>
    <t>↓</t>
  </si>
  <si>
    <t>Sobre a base de cálculo, definir a respectiva alíquota do ISS (entre 2% e 5%):</t>
  </si>
  <si>
    <t>Construção de Redes de Abastecimento de Água, Coleta de Esgoto</t>
  </si>
  <si>
    <t>BDI 1</t>
  </si>
  <si>
    <t>TIPO DE OBRA</t>
  </si>
  <si>
    <t>Fornecimento de Materiais e Equipamentos (aquisição indireta - em conjunto com licitação de obras)</t>
  </si>
  <si>
    <t>Itens</t>
  </si>
  <si>
    <t>Siglas</t>
  </si>
  <si>
    <t>% Adotado</t>
  </si>
  <si>
    <t>Situação</t>
  </si>
  <si>
    <t>1º Quartil</t>
  </si>
  <si>
    <t>Médio</t>
  </si>
  <si>
    <t>3º Quartil</t>
  </si>
  <si>
    <t>Construção e Manutenção de Estações e Redes de Distribuição de Energia Elétrica</t>
  </si>
  <si>
    <t>Obras Portuárias, Marítimas e Fluviais</t>
  </si>
  <si>
    <t>Tributos (impostos COFINS 3%, e  PIS 0,65%)</t>
  </si>
  <si>
    <t>Tributos (ISS, variável de acordo com o município)</t>
  </si>
  <si>
    <t>ISS</t>
  </si>
  <si>
    <t>Tributos (Contribuição Previdenciária sobre a Receita Bruta - Lei 12.546 de 14/12/2011 - Desoneração)</t>
  </si>
  <si>
    <t>CPRB</t>
  </si>
  <si>
    <t>OK</t>
  </si>
  <si>
    <t>BDI SEM desoneração (Fórmula Acórdão TCU)</t>
  </si>
  <si>
    <t>BDI COM desoneração</t>
  </si>
  <si>
    <t>BDI DES</t>
  </si>
  <si>
    <t>Os valores de BDI foram calculados com o emprego da fórmula:</t>
  </si>
  <si>
    <t>BDI =</t>
  </si>
  <si>
    <t xml:space="preserve"> - 1</t>
  </si>
  <si>
    <t>(1-CP-ISS-CRPB)</t>
  </si>
  <si>
    <t>Fornecimento de Materiais e Equipamentos (aquisição direta)</t>
  </si>
  <si>
    <t>-</t>
  </si>
  <si>
    <t>Observações:</t>
  </si>
  <si>
    <t>Estudos e Projetos, Planos e Gerenciamento e outros correlatos</t>
  </si>
  <si>
    <t>K1</t>
  </si>
  <si>
    <t>K2</t>
  </si>
  <si>
    <t>Local</t>
  </si>
  <si>
    <t>Data</t>
  </si>
  <si>
    <t>K3</t>
  </si>
  <si>
    <t>Responsável Técnico</t>
  </si>
  <si>
    <t>BDI 2</t>
  </si>
  <si>
    <t>BDI 3</t>
  </si>
  <si>
    <t>PO - PLANILHA ORÇAMENTÁRIA</t>
  </si>
  <si>
    <t>LOTE</t>
  </si>
  <si>
    <t>Meta</t>
  </si>
  <si>
    <t>Nível 2</t>
  </si>
  <si>
    <t>Nível 3</t>
  </si>
  <si>
    <t>Nível 4</t>
  </si>
  <si>
    <t>Serviço</t>
  </si>
  <si>
    <t>Nmax</t>
  </si>
  <si>
    <t>Nº TransfereGOV</t>
  </si>
  <si>
    <t>APELIDO DO EMPREENDIMENTO</t>
  </si>
  <si>
    <t>Arredondamento</t>
  </si>
  <si>
    <t>LOCALIDADE SINAPI</t>
  </si>
  <si>
    <t>DATA BASE</t>
  </si>
  <si>
    <t>Quantidade</t>
  </si>
  <si>
    <t>QUANTIDADES: ACOMP. POR BM</t>
  </si>
  <si>
    <t>PREÇO UNITÁRIO LICITADO</t>
  </si>
  <si>
    <t>RECURSO</t>
  </si>
  <si>
    <t>SGL RECURSO</t>
  </si>
  <si>
    <t>Custo Unitáro</t>
  </si>
  <si>
    <t>ERRO GERAL</t>
  </si>
  <si>
    <t>Preço Unitário</t>
  </si>
  <si>
    <t>Preço Total</t>
  </si>
  <si>
    <t>Valores não Arredondados</t>
  </si>
  <si>
    <t>Nível E</t>
  </si>
  <si>
    <t>Save Nivel</t>
  </si>
  <si>
    <t>Nível C</t>
  </si>
  <si>
    <t>Altura</t>
  </si>
  <si>
    <t>n1</t>
  </si>
  <si>
    <t>n2</t>
  </si>
  <si>
    <t>n3</t>
  </si>
  <si>
    <t>n4</t>
  </si>
  <si>
    <t>n5</t>
  </si>
  <si>
    <t>Czero</t>
  </si>
  <si>
    <t>Cnível</t>
  </si>
  <si>
    <t>Nível</t>
  </si>
  <si>
    <t>Nível Corrigido</t>
  </si>
  <si>
    <t>Item</t>
  </si>
  <si>
    <t>Fonte</t>
  </si>
  <si>
    <t>Código</t>
  </si>
  <si>
    <t>Unidade</t>
  </si>
  <si>
    <t>Preço Unitário (com BDI) (R$)</t>
  </si>
  <si>
    <t>Preço Total
(R$)</t>
  </si>
  <si>
    <t>Contrapartida (R$)</t>
  </si>
  <si>
    <t>Outros (R$)</t>
  </si>
  <si>
    <t>Erro de Dados</t>
  </si>
  <si>
    <t>Lista Crono</t>
  </si>
  <si>
    <t>Concatenação Fonte-Código</t>
  </si>
  <si>
    <t>BancoDesloc</t>
  </si>
  <si>
    <t>Custo Unitário Referência (R$)</t>
  </si>
  <si>
    <t>Preço Total
Licit. (R$)</t>
  </si>
  <si>
    <t>Preço Unitário Edital (R$)</t>
  </si>
  <si>
    <t>SINAPI</t>
  </si>
  <si>
    <t>RA</t>
  </si>
  <si>
    <t xml:space="preserve"> </t>
  </si>
  <si>
    <t>Encargos sociais:</t>
  </si>
  <si>
    <t>Para elaboração deste orçamento, foram utilizados os encargos sociais do SINAPI para a Unidade da Federação indicada.</t>
  </si>
  <si>
    <t>Siglas da Composição do Investimento: RA - Rateio proporcional entre Repasse e Contrapartida; RP - 100% Repasse; CP - 100% Contrapartida; OU - 100% Outros.</t>
  </si>
  <si>
    <t>AGRUPADORES DE EVENTOS</t>
  </si>
  <si>
    <r>
      <t xml:space="preserve">Grau de Sigilo
</t>
    </r>
    <r>
      <rPr>
        <b/>
        <sz val="10"/>
        <rFont val="Arial"/>
        <family val="2"/>
      </rPr>
      <t>#PUBLICO</t>
    </r>
  </si>
  <si>
    <t>APELIDO EMPREENDIMENTO</t>
  </si>
  <si>
    <t>1. Selecione abaixo a forma de definição dos agrupadores de eventos:</t>
  </si>
  <si>
    <t>Automática, conforme os agrupadores Nível 2 do Orçamento</t>
  </si>
  <si>
    <t>Nº do Evento</t>
  </si>
  <si>
    <t>Título do Evento</t>
  </si>
  <si>
    <t>Valor Total dos Eventos (R$)</t>
  </si>
  <si>
    <t>Total:</t>
  </si>
  <si>
    <t>.</t>
  </si>
  <si>
    <t>Preços dos serviços por frente</t>
  </si>
  <si>
    <t>Mês do cronograma</t>
  </si>
  <si>
    <t>Número da Medição</t>
  </si>
  <si>
    <t>AdmLocal</t>
  </si>
  <si>
    <t>Empty</t>
  </si>
  <si>
    <t>Nº AGRUPADOR DE EVENTOS</t>
  </si>
  <si>
    <t>FRENTES DE OBRA:</t>
  </si>
  <si>
    <t>AUTOEVENTO</t>
  </si>
  <si>
    <t>Memória de Cálculo</t>
  </si>
  <si>
    <t>Nº</t>
  </si>
  <si>
    <t># Evento</t>
  </si>
  <si>
    <t>Agrupador de Eventos</t>
  </si>
  <si>
    <t>TOTAL FINANC. POR FRENTE (R$):</t>
  </si>
  <si>
    <t>CRONOGRAMA PREVISTO PLE</t>
  </si>
  <si>
    <t>Título dos Eventos</t>
  </si>
  <si>
    <t>Cronograma</t>
  </si>
  <si>
    <t>Parcela</t>
  </si>
  <si>
    <t>%</t>
  </si>
  <si>
    <t>R$</t>
  </si>
  <si>
    <t>Acumulado</t>
  </si>
  <si>
    <t>Administração Local</t>
  </si>
  <si>
    <t>% Período:</t>
  </si>
  <si>
    <t>Níveis a Exibir no Cronograma:</t>
  </si>
  <si>
    <t>Nº TGOV</t>
  </si>
  <si>
    <t>PROPONENTE TOMADOR</t>
  </si>
  <si>
    <t>Lista Macrosserviços</t>
  </si>
  <si>
    <t>Falta distribuir:</t>
  </si>
  <si>
    <t>Valor (R$)</t>
  </si>
  <si>
    <t>Parcelas:</t>
  </si>
  <si>
    <t>Item CRONO</t>
  </si>
  <si>
    <t>OU</t>
  </si>
  <si>
    <t>Linha PO
Linha QCI
Total Adm Local</t>
  </si>
  <si>
    <t>Linhas a somar</t>
  </si>
  <si>
    <t>#</t>
  </si>
  <si>
    <t>%:</t>
  </si>
  <si>
    <t>Período:</t>
  </si>
  <si>
    <t>Contrapartida:</t>
  </si>
  <si>
    <t>Outros:</t>
  </si>
  <si>
    <t>Investimento:</t>
  </si>
  <si>
    <t>Acumulado:</t>
  </si>
  <si>
    <t>Administração Local:</t>
  </si>
  <si>
    <t>QCI - Quadro de Composição do Investimento</t>
  </si>
  <si>
    <t>% Maior:</t>
  </si>
  <si>
    <t>% Rateio CP Fin:</t>
  </si>
  <si>
    <t>MUNICÍPIO / UF</t>
  </si>
  <si>
    <t>VALORES CONTRATADOS (R$):</t>
  </si>
  <si>
    <t>CONTRAPARTIDA</t>
  </si>
  <si>
    <t>INVESTIMENTO</t>
  </si>
  <si>
    <t>% CP Min Prog:</t>
  </si>
  <si>
    <t>% CP Absoluta:</t>
  </si>
  <si>
    <t>% CP Max Rep:</t>
  </si>
  <si>
    <t>Saldo a Reprogramar</t>
  </si>
  <si>
    <t>Ordem Meta</t>
  </si>
  <si>
    <t>Arred</t>
  </si>
  <si>
    <t>Repasse (R$)</t>
  </si>
  <si>
    <t>Proporcional</t>
  </si>
  <si>
    <t>Busca</t>
  </si>
  <si>
    <t>Item de Investimento</t>
  </si>
  <si>
    <t>Subitem de Investimento</t>
  </si>
  <si>
    <t>Descrição da Meta</t>
  </si>
  <si>
    <t>Unid.</t>
  </si>
  <si>
    <t>Lote de Licitação / nº do CTEF</t>
  </si>
  <si>
    <t>Contrapartida Financeira (R$)</t>
  </si>
  <si>
    <t>Investimento (R$)</t>
  </si>
  <si>
    <t>Divisão do Investimento</t>
  </si>
  <si>
    <t>TR$</t>
  </si>
  <si>
    <t>TOTAL</t>
  </si>
  <si>
    <t>T%</t>
  </si>
  <si>
    <t>Representante Tomador</t>
  </si>
  <si>
    <t>PLE - PLANILHA DE LEVANTAMENTO DE EVENTOS</t>
  </si>
  <si>
    <t>Medição:</t>
  </si>
  <si>
    <t>% Realizado Período.:</t>
  </si>
  <si>
    <t>% Realizado Acum.:</t>
  </si>
  <si>
    <t>Filtro</t>
  </si>
  <si>
    <t>Informe abaixo o NÚMERO DA MEDIÇÃO em que os eventos foram concluídos</t>
  </si>
  <si>
    <t>Data das Medições</t>
  </si>
  <si>
    <t>Medições</t>
  </si>
  <si>
    <t>Responsável Técnico pela Fiscalização</t>
  </si>
  <si>
    <t>Modo CAIXA</t>
  </si>
  <si>
    <t>INÍCIO DE OBRA</t>
  </si>
  <si>
    <t xml:space="preserve">Regime </t>
  </si>
  <si>
    <t>Fórmula CopMed</t>
  </si>
  <si>
    <t>Nº CTEF</t>
  </si>
  <si>
    <t>EMPRESA EXECUTORA</t>
  </si>
  <si>
    <t>CNPJ</t>
  </si>
  <si>
    <t>PERÍODO DA MEDIÇÃO</t>
  </si>
  <si>
    <t>Nº MEDIÇÃO</t>
  </si>
  <si>
    <t>ARREDMED</t>
  </si>
  <si>
    <t>Linha Adm. L.</t>
  </si>
  <si>
    <t>Anexo</t>
  </si>
  <si>
    <t>Datas das Medições</t>
  </si>
  <si>
    <t>Orçamento Contratado</t>
  </si>
  <si>
    <t>Evolução Financeira (R$)</t>
  </si>
  <si>
    <t>Quadro de Glosas</t>
  </si>
  <si>
    <t>Acum. Anterior</t>
  </si>
  <si>
    <t>Período</t>
  </si>
  <si>
    <t>Acum. Incluindo o Período</t>
  </si>
  <si>
    <t>Valor Total Glosado (R$)</t>
  </si>
  <si>
    <t>Motivo da Glosa</t>
  </si>
  <si>
    <t>Valor Total Medido (R$)</t>
  </si>
  <si>
    <t>TOTAL:</t>
  </si>
  <si>
    <t>Observações</t>
  </si>
  <si>
    <t>Profissional CAIXA:</t>
  </si>
  <si>
    <t>Matrícula</t>
  </si>
  <si>
    <r>
      <rPr>
        <sz val="10.5"/>
        <rFont val="Arial Narrow"/>
        <family val="2"/>
      </rPr>
      <t>Grau de Sigilo</t>
    </r>
    <r>
      <rPr>
        <sz val="10"/>
        <rFont val="Arial"/>
        <family val="2"/>
      </rPr>
      <t xml:space="preserve">
</t>
    </r>
    <r>
      <rPr>
        <b/>
        <sz val="10"/>
        <rFont val="Arial"/>
        <family val="2"/>
      </rPr>
      <t>#PUBLICO</t>
    </r>
  </si>
  <si>
    <t>Acum. Previsto</t>
  </si>
  <si>
    <t>Acum. Chegada</t>
  </si>
  <si>
    <t>Outros</t>
  </si>
  <si>
    <t>Nº RRE</t>
  </si>
  <si>
    <t>Investimento</t>
  </si>
  <si>
    <t>Situação do TC/CR:</t>
  </si>
  <si>
    <t>Percentual previsto em:</t>
  </si>
  <si>
    <t>Lista CTEF</t>
  </si>
  <si>
    <t>Lista CTEFs</t>
  </si>
  <si>
    <t>Acumulado Período Anterior</t>
  </si>
  <si>
    <t>Acumulado incluindo o Período</t>
  </si>
  <si>
    <t>Linha
PO</t>
  </si>
  <si>
    <t>BM / PLE nº</t>
  </si>
  <si>
    <t>Valor Total (R$)</t>
  </si>
  <si>
    <t>No Período</t>
  </si>
  <si>
    <t>Execução Física Acum.</t>
  </si>
  <si>
    <t>Acum. Período Anterior - CP</t>
  </si>
  <si>
    <t>Acum. Período Anterior - Outros</t>
  </si>
  <si>
    <t>Acum. Incluindo Período - CP</t>
  </si>
  <si>
    <t>Acum. Incluindo Período - Outros</t>
  </si>
  <si>
    <t>(%)</t>
  </si>
  <si>
    <t>Anterior (R$)</t>
  </si>
  <si>
    <t>Acumulado (R$)</t>
  </si>
  <si>
    <t>Max CP/OU Ant.</t>
  </si>
  <si>
    <t>Max CP/OU Acum.</t>
  </si>
  <si>
    <t>Contrapartida</t>
  </si>
  <si>
    <t># PÚBLICO</t>
  </si>
  <si>
    <t>Ofício n°:</t>
  </si>
  <si>
    <t>À</t>
  </si>
  <si>
    <t>CAIXA ECONÔMICA FEDERAL</t>
  </si>
  <si>
    <t>GIGOV</t>
  </si>
  <si>
    <t>Assunto:</t>
  </si>
  <si>
    <t>REF:</t>
  </si>
  <si>
    <t>Objeto:</t>
  </si>
  <si>
    <t>Proponente / Tomador:</t>
  </si>
  <si>
    <t>Valores Vigentes do TC/CR</t>
  </si>
  <si>
    <t>Valores Medidos Acumulados</t>
  </si>
  <si>
    <t>Contrapartida Financeira:</t>
  </si>
  <si>
    <t>Execução Física:</t>
  </si>
  <si>
    <t>Atenciosamente,</t>
  </si>
  <si>
    <t>Nivel</t>
  </si>
  <si>
    <t>N° Macrosserviço / Serviço</t>
  </si>
  <si>
    <t>Descrição Macrosserviço / Serviço</t>
  </si>
  <si>
    <t>Qtd. (valor calculado)</t>
  </si>
  <si>
    <t>Und.</t>
  </si>
  <si>
    <t>Custo Unitário Referência</t>
  </si>
  <si>
    <t>Custo Unitário</t>
  </si>
  <si>
    <t>Preço Unitário (valor calculado)</t>
  </si>
  <si>
    <t>Preço Total (valor calculado)</t>
  </si>
  <si>
    <t>Observação</t>
  </si>
  <si>
    <t>N° Evento</t>
  </si>
  <si>
    <t>Evento</t>
  </si>
  <si>
    <t>N° Frente de Obra</t>
  </si>
  <si>
    <t>Frente de Obra</t>
  </si>
  <si>
    <t>Qtd.</t>
  </si>
  <si>
    <t>Valor</t>
  </si>
  <si>
    <t>N° do Evento</t>
  </si>
  <si>
    <t>N° da Frente de Obra</t>
  </si>
  <si>
    <t>N° do Período de Conclusão do Evento</t>
  </si>
  <si>
    <t>Número</t>
  </si>
  <si>
    <t>Macrosserviço</t>
  </si>
  <si>
    <t>Percentual Parcela</t>
  </si>
  <si>
    <t>V3.10</t>
  </si>
  <si>
    <t>Corrigidas as fórmulas da v3.08 / v3.09 que eram incompatíveis com as versões do Excel anteriores ao Office 365.</t>
  </si>
  <si>
    <t>FUNDAÇÕES</t>
  </si>
  <si>
    <t>ESTRUTURAS</t>
  </si>
  <si>
    <t>COBERTURA</t>
  </si>
  <si>
    <t>94213</t>
  </si>
  <si>
    <t>92616</t>
  </si>
  <si>
    <t>92580</t>
  </si>
  <si>
    <t>Composição</t>
  </si>
  <si>
    <t>002</t>
  </si>
  <si>
    <t>93358</t>
  </si>
  <si>
    <t>93382</t>
  </si>
  <si>
    <t>003</t>
  </si>
  <si>
    <t>COBERTURA DE QUADRA - EMEI IRACEMA CIDADE</t>
  </si>
  <si>
    <t>PREFEITURA MUNICIPAL</t>
  </si>
  <si>
    <t>CAÇAPAVA DO SUL/RS</t>
  </si>
  <si>
    <t>NÃO DESONERADO</t>
  </si>
  <si>
    <t>COBERTURA DE QUADRA</t>
  </si>
  <si>
    <t>HELMESONA DE O. SANTANA</t>
  </si>
  <si>
    <t>CREA RS152843</t>
  </si>
  <si>
    <t>ART 8809670</t>
  </si>
  <si>
    <t>Marcelo C. Spode</t>
  </si>
  <si>
    <t>Prefeito Municipal</t>
  </si>
  <si>
    <t>ENCARGOS SOCIAIS
EM DESONERAÇÃO: 112,84% HORISTA e 69,95% MENSALISTA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</si>
</sst>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7">
    <numFmt numFmtId="164" formatCode="_-* #,##0.00_-;\-* #,##0.00_-;_-* &quot;-&quot;??_-;_-@_-"/>
    <numFmt numFmtId="165" formatCode="_(&quot;R$ &quot;* #,##0.00_);_(&quot;R$ &quot;* \(#,##0.00\);_(&quot;R$ &quot;* \-??_);_(@_)"/>
    <numFmt numFmtId="166" formatCode="_-* #,##0.00_-;\-* #,##0.00_-;_-* \-??_-;_-@_-"/>
    <numFmt numFmtId="167" formatCode="mm\-yyyy"/>
    <numFmt numFmtId="168" formatCode="General;General"/>
    <numFmt numFmtId="169" formatCode="dddd&quot;, &quot;mmmm\ dd&quot;, &quot;yyyy"/>
    <numFmt numFmtId="170" formatCode="dd&quot; de &quot;mmmm&quot; de &quot;yyyy"/>
    <numFmt numFmtId="171" formatCode="mmm\-yy;@"/>
    <numFmt numFmtId="172" formatCode="_(* #,##0.00_);_(* \(#,##0.00\);_(* \-??_);_(@_)"/>
    <numFmt numFmtId="173" formatCode="0\."/>
    <numFmt numFmtId="174" formatCode="_(\ #,##0.00_);_(&quot; (&quot;#,##0.00\);_(&quot; -&quot;??_);_(@_)"/>
    <numFmt numFmtId="175" formatCode="mm/yy"/>
    <numFmt numFmtId="176" formatCode="General;;"/>
    <numFmt numFmtId="177" formatCode="&quot;Medição &quot;0"/>
    <numFmt numFmtId="178" formatCode="_(#,##0.00_);_(* \(#,##0.00\);_(* \-??_);_(@_)"/>
    <numFmt numFmtId="179" formatCode="_-#,##0.00_-;\-#,##0.00_-;_-&quot; -&quot;??_-;_-@_-"/>
    <numFmt numFmtId="180" formatCode="##\."/>
    <numFmt numFmtId="181" formatCode="_-&quot;R$ &quot;* #,##0.00_-;&quot;-R$ &quot;* #,##0.00_-;_-&quot;R$ &quot;* \-??_-;_-@_-"/>
    <numFmt numFmtId="182" formatCode="&quot;( &quot;0.00%&quot; )&quot;"/>
    <numFmt numFmtId="183" formatCode="dd/mm/yy;@"/>
    <numFmt numFmtId="184" formatCode="&quot;Medição &quot;##"/>
    <numFmt numFmtId="185" formatCode="#,##0.00_ ;\-#,##0.00\ "/>
    <numFmt numFmtId="186" formatCode="_(* #,##0.00_);_(* \(#,##0.00\);;_(@_)"/>
    <numFmt numFmtId="187" formatCode="[$-F800]dddd\,\ mmmm\ dd\,\ yyyy"/>
    <numFmt numFmtId="188" formatCode="&quot;Mês &quot;00"/>
    <numFmt numFmtId="189" formatCode="_-#,##0.00_-;\-#,##0.00_-;_-&quot;-&quot;??_-;_-@_-"/>
    <numFmt numFmtId="190" formatCode="\R\$\ #,##0.00"/>
  </numFmts>
  <fonts count="79" x14ac:knownFonts="1">
    <font>
      <sz val="10"/>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sz val="11"/>
      <color indexed="62"/>
      <name val="Calibri"/>
      <family val="2"/>
    </font>
    <font>
      <sz val="9"/>
      <name val="Arial"/>
      <family val="2"/>
    </font>
    <font>
      <b/>
      <sz val="11"/>
      <color indexed="63"/>
      <name val="Calibri"/>
      <family val="2"/>
    </font>
    <font>
      <sz val="11"/>
      <color indexed="10"/>
      <name val="Calibri"/>
      <family val="2"/>
    </font>
    <font>
      <i/>
      <sz val="11"/>
      <color indexed="23"/>
      <name val="Calibri"/>
      <family val="2"/>
    </font>
    <font>
      <b/>
      <sz val="11"/>
      <color indexed="8"/>
      <name val="Calibri"/>
      <family val="2"/>
    </font>
    <font>
      <b/>
      <sz val="15"/>
      <color indexed="54"/>
      <name val="Calibri"/>
      <family val="2"/>
    </font>
    <font>
      <b/>
      <sz val="13"/>
      <color indexed="54"/>
      <name val="Calibri"/>
      <family val="2"/>
    </font>
    <font>
      <b/>
      <sz val="11"/>
      <color indexed="54"/>
      <name val="Calibri"/>
      <family val="2"/>
    </font>
    <font>
      <sz val="18"/>
      <color indexed="54"/>
      <name val="Calibri Light"/>
      <family val="2"/>
    </font>
    <font>
      <b/>
      <sz val="11"/>
      <name val="Arial"/>
      <family val="2"/>
    </font>
    <font>
      <b/>
      <sz val="13"/>
      <name val="Arial"/>
      <family val="2"/>
    </font>
    <font>
      <b/>
      <sz val="18"/>
      <name val="Arial"/>
      <family val="2"/>
    </font>
    <font>
      <b/>
      <sz val="11"/>
      <color indexed="10"/>
      <name val="Arial"/>
      <family val="2"/>
    </font>
    <font>
      <i/>
      <sz val="10"/>
      <name val="Arial"/>
      <family val="2"/>
    </font>
    <font>
      <b/>
      <sz val="10"/>
      <color indexed="10"/>
      <name val="Arial"/>
      <family val="2"/>
    </font>
    <font>
      <b/>
      <sz val="12"/>
      <name val="Arial"/>
      <family val="2"/>
    </font>
    <font>
      <b/>
      <sz val="10"/>
      <name val="Arial"/>
      <family val="2"/>
    </font>
    <font>
      <sz val="9"/>
      <color indexed="8"/>
      <name val="Segoe UI"/>
      <family val="2"/>
    </font>
    <font>
      <b/>
      <sz val="18"/>
      <color indexed="8"/>
      <name val="Calibri"/>
      <family val="2"/>
    </font>
    <font>
      <b/>
      <sz val="14"/>
      <color indexed="8"/>
      <name val="Calibri"/>
      <family val="2"/>
    </font>
    <font>
      <u/>
      <sz val="11"/>
      <color indexed="8"/>
      <name val="Calibri"/>
      <family val="2"/>
    </font>
    <font>
      <b/>
      <sz val="10"/>
      <color indexed="12"/>
      <name val="Arial"/>
      <family val="2"/>
    </font>
    <font>
      <sz val="11"/>
      <name val="Arial"/>
      <family val="2"/>
    </font>
    <font>
      <b/>
      <sz val="12"/>
      <color indexed="10"/>
      <name val="Arial"/>
      <family val="2"/>
    </font>
    <font>
      <sz val="10"/>
      <color indexed="10"/>
      <name val="Arial"/>
      <family val="2"/>
    </font>
    <font>
      <i/>
      <sz val="12"/>
      <name val="Calibri"/>
      <family val="2"/>
    </font>
    <font>
      <i/>
      <u/>
      <sz val="12"/>
      <name val="Calibri"/>
      <family val="2"/>
    </font>
    <font>
      <u/>
      <sz val="10"/>
      <name val="Arial"/>
      <family val="2"/>
    </font>
    <font>
      <sz val="14"/>
      <color indexed="9"/>
      <name val="Arial"/>
      <family val="2"/>
    </font>
    <font>
      <sz val="12"/>
      <name val="Arial"/>
      <family val="2"/>
    </font>
    <font>
      <sz val="8"/>
      <name val="Arial"/>
      <family val="2"/>
    </font>
    <font>
      <sz val="10"/>
      <name val="Calibri"/>
      <family val="2"/>
    </font>
    <font>
      <b/>
      <sz val="9"/>
      <color indexed="8"/>
      <name val="Tahoma"/>
      <family val="2"/>
    </font>
    <font>
      <sz val="9"/>
      <color indexed="8"/>
      <name val="Tahoma"/>
      <family val="2"/>
    </font>
    <font>
      <b/>
      <sz val="9"/>
      <name val="Arial"/>
      <family val="2"/>
    </font>
    <font>
      <b/>
      <sz val="8"/>
      <name val="Arial"/>
      <family val="2"/>
    </font>
    <font>
      <sz val="8"/>
      <name val="Calibri"/>
      <family val="2"/>
    </font>
    <font>
      <b/>
      <sz val="7"/>
      <name val="Arial"/>
      <family val="2"/>
    </font>
    <font>
      <sz val="10"/>
      <color indexed="8"/>
      <name val="Arial"/>
      <family val="2"/>
    </font>
    <font>
      <sz val="10"/>
      <color indexed="9"/>
      <name val="Arial"/>
      <family val="2"/>
    </font>
    <font>
      <sz val="10"/>
      <color indexed="22"/>
      <name val="Arial"/>
      <family val="2"/>
    </font>
    <font>
      <b/>
      <sz val="10"/>
      <color indexed="8"/>
      <name val="Arial"/>
      <family val="2"/>
    </font>
    <font>
      <b/>
      <sz val="12"/>
      <color indexed="8"/>
      <name val="Arial"/>
      <family val="2"/>
    </font>
    <font>
      <sz val="10"/>
      <name val="Arial Narrow"/>
      <family val="2"/>
    </font>
    <font>
      <sz val="11"/>
      <color indexed="10"/>
      <name val="Arial"/>
      <family val="2"/>
    </font>
    <font>
      <b/>
      <i/>
      <sz val="10"/>
      <name val="Arial"/>
      <family val="2"/>
    </font>
    <font>
      <b/>
      <sz val="9"/>
      <color indexed="8"/>
      <name val="Segoe UI"/>
      <family val="2"/>
    </font>
    <font>
      <i/>
      <sz val="8"/>
      <name val="Arial"/>
      <family val="2"/>
    </font>
    <font>
      <sz val="10"/>
      <name val="Arial"/>
      <family val="2"/>
    </font>
    <font>
      <b/>
      <sz val="14"/>
      <name val="Arial"/>
      <family val="2"/>
    </font>
    <font>
      <sz val="14"/>
      <name val="Arial"/>
      <family val="2"/>
    </font>
    <font>
      <b/>
      <sz val="8"/>
      <color indexed="10"/>
      <name val="Calibri"/>
      <family val="2"/>
    </font>
    <font>
      <b/>
      <sz val="11"/>
      <color indexed="10"/>
      <name val="Calibri"/>
      <family val="2"/>
    </font>
    <font>
      <u/>
      <sz val="10"/>
      <color theme="10"/>
      <name val="Arial"/>
      <family val="2"/>
    </font>
    <font>
      <sz val="10"/>
      <color theme="0"/>
      <name val="Arial"/>
      <family val="2"/>
    </font>
    <font>
      <sz val="11"/>
      <name val="Arial Narrow"/>
      <family val="2"/>
    </font>
    <font>
      <sz val="10.5"/>
      <name val="Arial Narrow"/>
      <family val="2"/>
    </font>
    <font>
      <b/>
      <sz val="10.5"/>
      <name val="Arial Narrow"/>
      <family val="2"/>
    </font>
    <font>
      <b/>
      <sz val="10"/>
      <color indexed="9"/>
      <name val="Arial"/>
      <family val="2"/>
    </font>
    <font>
      <sz val="11"/>
      <color indexed="8"/>
      <name val="Calibri"/>
      <family val="2"/>
      <scheme val="minor"/>
    </font>
    <font>
      <b/>
      <sz val="12"/>
      <color rgb="FFFF0000"/>
      <name val="Arial"/>
      <family val="2"/>
    </font>
    <font>
      <sz val="9"/>
      <color rgb="FFFF0000"/>
      <name val="Arial Narrow"/>
      <family val="2"/>
    </font>
    <font>
      <sz val="10"/>
      <color theme="0" tint="-4.9989318521683403E-2"/>
      <name val="Arial"/>
      <family val="2"/>
    </font>
    <font>
      <sz val="1"/>
      <color theme="0" tint="-0.249977111117893"/>
      <name val="Arial"/>
      <family val="2"/>
    </font>
    <font>
      <sz val="10"/>
      <color theme="0" tint="-0.249977111117893"/>
      <name val="Arial"/>
      <family val="2"/>
    </font>
    <font>
      <b/>
      <sz val="11"/>
      <color rgb="FFFF0000"/>
      <name val="Arial"/>
      <family val="2"/>
    </font>
    <font>
      <b/>
      <sz val="10"/>
      <color rgb="FFFF0000"/>
      <name val="Arial"/>
      <family val="2"/>
    </font>
    <font>
      <sz val="10"/>
      <color rgb="FFFF0000"/>
      <name val="Arial"/>
      <family val="2"/>
    </font>
    <font>
      <b/>
      <sz val="10"/>
      <color theme="0" tint="-0.499984740745262"/>
      <name val="Arial"/>
      <family val="2"/>
    </font>
    <font>
      <sz val="7"/>
      <color rgb="FFFF0000"/>
      <name val="Arial"/>
      <family val="2"/>
    </font>
    <font>
      <sz val="8"/>
      <color rgb="FF000000"/>
      <name val="Segoe UI"/>
      <family val="2"/>
    </font>
  </fonts>
  <fills count="33">
    <fill>
      <patternFill patternType="none"/>
    </fill>
    <fill>
      <patternFill patternType="gray125"/>
    </fill>
    <fill>
      <patternFill patternType="solid">
        <fgColor indexed="27"/>
        <bgColor indexed="41"/>
      </patternFill>
    </fill>
    <fill>
      <patternFill patternType="solid">
        <fgColor indexed="47"/>
        <bgColor indexed="42"/>
      </patternFill>
    </fill>
    <fill>
      <patternFill patternType="solid">
        <fgColor indexed="42"/>
        <bgColor indexed="31"/>
      </patternFill>
    </fill>
    <fill>
      <patternFill patternType="solid">
        <fgColor indexed="26"/>
        <bgColor indexed="9"/>
      </patternFill>
    </fill>
    <fill>
      <patternFill patternType="solid">
        <fgColor indexed="43"/>
        <bgColor indexed="26"/>
      </patternFill>
    </fill>
    <fill>
      <patternFill patternType="solid">
        <fgColor indexed="24"/>
        <bgColor indexed="46"/>
      </patternFill>
    </fill>
    <fill>
      <patternFill patternType="solid">
        <fgColor indexed="22"/>
        <bgColor indexed="44"/>
      </patternFill>
    </fill>
    <fill>
      <patternFill patternType="solid">
        <fgColor indexed="49"/>
        <bgColor indexed="40"/>
      </patternFill>
    </fill>
    <fill>
      <patternFill patternType="solid">
        <fgColor indexed="57"/>
        <bgColor indexed="21"/>
      </patternFill>
    </fill>
    <fill>
      <patternFill patternType="solid">
        <fgColor indexed="9"/>
        <bgColor indexed="41"/>
      </patternFill>
    </fill>
    <fill>
      <patternFill patternType="solid">
        <fgColor indexed="55"/>
        <bgColor indexed="46"/>
      </patternFill>
    </fill>
    <fill>
      <patternFill patternType="solid">
        <fgColor indexed="53"/>
        <bgColor indexed="52"/>
      </patternFill>
    </fill>
    <fill>
      <patternFill patternType="solid">
        <fgColor indexed="51"/>
        <bgColor indexed="13"/>
      </patternFill>
    </fill>
    <fill>
      <patternFill patternType="solid">
        <fgColor indexed="62"/>
        <bgColor indexed="56"/>
      </patternFill>
    </fill>
    <fill>
      <patternFill patternType="solid">
        <fgColor indexed="31"/>
        <bgColor indexed="42"/>
      </patternFill>
    </fill>
    <fill>
      <patternFill patternType="solid">
        <fgColor indexed="23"/>
        <bgColor indexed="55"/>
      </patternFill>
    </fill>
    <fill>
      <patternFill patternType="solid">
        <fgColor indexed="44"/>
        <bgColor indexed="22"/>
      </patternFill>
    </fill>
    <fill>
      <patternFill patternType="solid">
        <fgColor indexed="41"/>
        <bgColor indexed="9"/>
      </patternFill>
    </fill>
    <fill>
      <patternFill patternType="solid">
        <fgColor indexed="22"/>
        <bgColor indexed="64"/>
      </patternFill>
    </fill>
    <fill>
      <patternFill patternType="lightUp"/>
    </fill>
    <fill>
      <patternFill patternType="lightUp">
        <fgColor indexed="22"/>
      </patternFill>
    </fill>
    <fill>
      <patternFill patternType="lightUp">
        <bgColor indexed="42"/>
      </patternFill>
    </fill>
    <fill>
      <patternFill patternType="lightUp">
        <fgColor indexed="31"/>
      </patternFill>
    </fill>
    <fill>
      <patternFill patternType="solid">
        <fgColor rgb="FF99CCFF"/>
        <bgColor indexed="64"/>
      </patternFill>
    </fill>
    <fill>
      <patternFill patternType="solid">
        <fgColor rgb="FF99CCFF"/>
        <bgColor indexed="26"/>
      </patternFill>
    </fill>
    <fill>
      <patternFill patternType="solid">
        <bgColor indexed="49"/>
      </patternFill>
    </fill>
    <fill>
      <patternFill patternType="solid">
        <fgColor theme="0" tint="-4.9989318521683403E-2"/>
        <bgColor indexed="64"/>
      </patternFill>
    </fill>
    <fill>
      <patternFill patternType="solid">
        <fgColor rgb="FFC0C0C0"/>
        <bgColor indexed="64"/>
      </patternFill>
    </fill>
    <fill>
      <patternFill patternType="solid">
        <fgColor theme="0" tint="-0.249977111117893"/>
        <bgColor indexed="64"/>
      </patternFill>
    </fill>
    <fill>
      <patternFill patternType="solid">
        <fgColor theme="0" tint="-0.14999847407452621"/>
        <bgColor indexed="22"/>
      </patternFill>
    </fill>
    <fill>
      <patternFill patternType="solid">
        <fgColor theme="0" tint="-0.14999847407452621"/>
        <bgColor indexed="64"/>
      </patternFill>
    </fill>
  </fills>
  <borders count="13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44"/>
      </left>
      <right style="thin">
        <color indexed="44"/>
      </right>
      <top style="thin">
        <color indexed="44"/>
      </top>
      <bottom style="thin">
        <color indexed="44"/>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24"/>
      </bottom>
      <diagonal/>
    </border>
    <border>
      <left/>
      <right/>
      <top/>
      <bottom style="medium">
        <color indexed="24"/>
      </bottom>
      <diagonal/>
    </border>
    <border>
      <left/>
      <right/>
      <top style="thin">
        <color indexed="49"/>
      </top>
      <bottom style="double">
        <color indexed="49"/>
      </bottom>
      <diagonal/>
    </border>
    <border>
      <left/>
      <right/>
      <top style="thin">
        <color indexed="8"/>
      </top>
      <bottom/>
      <diagonal/>
    </border>
    <border>
      <left/>
      <right style="thin">
        <color indexed="8"/>
      </right>
      <top style="thin">
        <color indexed="8"/>
      </top>
      <bottom/>
      <diagonal/>
    </border>
    <border>
      <left/>
      <right style="thin">
        <color indexed="8"/>
      </right>
      <top/>
      <bottom/>
      <diagonal/>
    </border>
    <border>
      <left style="thin">
        <color indexed="8"/>
      </left>
      <right style="thin">
        <color indexed="8"/>
      </right>
      <top/>
      <bottom style="thin">
        <color indexed="8"/>
      </bottom>
      <diagonal/>
    </border>
    <border>
      <left style="medium">
        <color indexed="8"/>
      </left>
      <right style="hair">
        <color indexed="8"/>
      </right>
      <top style="medium">
        <color indexed="8"/>
      </top>
      <bottom style="hair">
        <color indexed="8"/>
      </bottom>
      <diagonal/>
    </border>
    <border>
      <left/>
      <right style="medium">
        <color indexed="8"/>
      </right>
      <top style="medium">
        <color indexed="8"/>
      </top>
      <bottom style="hair">
        <color indexed="8"/>
      </bottom>
      <diagonal/>
    </border>
    <border>
      <left style="medium">
        <color indexed="8"/>
      </left>
      <right style="hair">
        <color indexed="8"/>
      </right>
      <top/>
      <bottom style="hair">
        <color indexed="8"/>
      </bottom>
      <diagonal/>
    </border>
    <border>
      <left/>
      <right style="medium">
        <color indexed="8"/>
      </right>
      <top/>
      <bottom style="hair">
        <color indexed="8"/>
      </bottom>
      <diagonal/>
    </border>
    <border>
      <left style="medium">
        <color indexed="8"/>
      </left>
      <right style="hair">
        <color indexed="8"/>
      </right>
      <top style="hair">
        <color indexed="8"/>
      </top>
      <bottom style="hair">
        <color indexed="8"/>
      </bottom>
      <diagonal/>
    </border>
    <border>
      <left/>
      <right style="medium">
        <color indexed="8"/>
      </right>
      <top style="hair">
        <color indexed="8"/>
      </top>
      <bottom style="hair">
        <color indexed="8"/>
      </bottom>
      <diagonal/>
    </border>
    <border>
      <left style="medium">
        <color indexed="8"/>
      </left>
      <right style="hair">
        <color indexed="8"/>
      </right>
      <top/>
      <bottom style="medium">
        <color indexed="8"/>
      </bottom>
      <diagonal/>
    </border>
    <border>
      <left/>
      <right style="medium">
        <color indexed="8"/>
      </right>
      <top/>
      <bottom style="medium">
        <color indexed="8"/>
      </bottom>
      <diagonal/>
    </border>
    <border>
      <left style="medium">
        <color indexed="8"/>
      </left>
      <right style="hair">
        <color indexed="8"/>
      </right>
      <top style="medium">
        <color indexed="8"/>
      </top>
      <bottom/>
      <diagonal/>
    </border>
    <border>
      <left style="hair">
        <color indexed="8"/>
      </left>
      <right style="medium">
        <color indexed="8"/>
      </right>
      <top style="medium">
        <color indexed="8"/>
      </top>
      <bottom/>
      <diagonal/>
    </border>
    <border>
      <left style="hair">
        <color indexed="8"/>
      </left>
      <right style="medium">
        <color indexed="8"/>
      </right>
      <top style="hair">
        <color indexed="8"/>
      </top>
      <bottom style="hair">
        <color indexed="8"/>
      </bottom>
      <diagonal/>
    </border>
    <border>
      <left style="medium">
        <color indexed="8"/>
      </left>
      <right style="hair">
        <color indexed="8"/>
      </right>
      <top style="hair">
        <color indexed="8"/>
      </top>
      <bottom style="medium">
        <color indexed="8"/>
      </bottom>
      <diagonal/>
    </border>
    <border>
      <left style="hair">
        <color indexed="8"/>
      </left>
      <right style="medium">
        <color indexed="8"/>
      </right>
      <top style="hair">
        <color indexed="8"/>
      </top>
      <bottom style="medium">
        <color indexed="8"/>
      </bottom>
      <diagonal/>
    </border>
    <border>
      <left/>
      <right style="medium">
        <color indexed="8"/>
      </right>
      <top style="hair">
        <color indexed="8"/>
      </top>
      <bottom style="medium">
        <color indexed="8"/>
      </bottom>
      <diagonal/>
    </border>
    <border>
      <left/>
      <right style="thin">
        <color indexed="8"/>
      </right>
      <top/>
      <bottom style="thin">
        <color indexed="8"/>
      </bottom>
      <diagonal/>
    </border>
    <border>
      <left/>
      <right/>
      <top/>
      <bottom style="thin">
        <color indexed="8"/>
      </bottom>
      <diagonal/>
    </border>
    <border>
      <left style="thin">
        <color indexed="8"/>
      </left>
      <right style="thin">
        <color indexed="8"/>
      </right>
      <top/>
      <bottom/>
      <diagonal/>
    </border>
    <border>
      <left style="thin">
        <color indexed="8"/>
      </left>
      <right style="thin">
        <color indexed="8"/>
      </right>
      <top style="thin">
        <color indexed="8"/>
      </top>
      <bottom style="thin">
        <color indexed="8"/>
      </bottom>
      <diagonal/>
    </border>
    <border>
      <left style="thin">
        <color indexed="8"/>
      </left>
      <right/>
      <top/>
      <bottom/>
      <diagonal/>
    </border>
    <border>
      <left style="thin">
        <color indexed="8"/>
      </left>
      <right style="thin">
        <color indexed="8"/>
      </right>
      <top style="thin">
        <color indexed="8"/>
      </top>
      <bottom/>
      <diagonal/>
    </border>
    <border>
      <left style="thin">
        <color indexed="8"/>
      </left>
      <right/>
      <top/>
      <bottom style="hair">
        <color indexed="8"/>
      </bottom>
      <diagonal/>
    </border>
    <border>
      <left style="thin">
        <color indexed="8"/>
      </left>
      <right style="thin">
        <color indexed="8"/>
      </right>
      <top/>
      <bottom style="hair">
        <color indexed="8"/>
      </bottom>
      <diagonal/>
    </border>
    <border>
      <left style="thin">
        <color indexed="8"/>
      </left>
      <right style="hair">
        <color indexed="8"/>
      </right>
      <top style="thin">
        <color indexed="8"/>
      </top>
      <bottom style="thin">
        <color indexed="8"/>
      </bottom>
      <diagonal/>
    </border>
    <border>
      <left style="thin">
        <color indexed="8"/>
      </left>
      <right/>
      <top style="hair">
        <color indexed="8"/>
      </top>
      <bottom style="hair">
        <color indexed="8"/>
      </bottom>
      <diagonal/>
    </border>
    <border>
      <left style="thin">
        <color indexed="8"/>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style="thin">
        <color indexed="8"/>
      </right>
      <top style="hair">
        <color indexed="8"/>
      </top>
      <bottom style="hair">
        <color indexed="8"/>
      </bottom>
      <diagonal/>
    </border>
    <border>
      <left style="thin">
        <color indexed="8"/>
      </left>
      <right style="thin">
        <color indexed="8"/>
      </right>
      <top style="hair">
        <color indexed="8"/>
      </top>
      <bottom style="hair">
        <color indexed="8"/>
      </bottom>
      <diagonal/>
    </border>
    <border>
      <left style="hair">
        <color indexed="8"/>
      </left>
      <right style="hair">
        <color indexed="8"/>
      </right>
      <top style="hair">
        <color indexed="8"/>
      </top>
      <bottom/>
      <diagonal/>
    </border>
    <border>
      <left style="hair">
        <color indexed="8"/>
      </left>
      <right style="thin">
        <color indexed="8"/>
      </right>
      <top style="hair">
        <color indexed="8"/>
      </top>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style="hair">
        <color indexed="8"/>
      </left>
      <right style="hair">
        <color indexed="8"/>
      </right>
      <top style="thin">
        <color indexed="8"/>
      </top>
      <bottom style="thin">
        <color indexed="8"/>
      </bottom>
      <diagonal/>
    </border>
    <border>
      <left style="hair">
        <color indexed="8"/>
      </left>
      <right style="thin">
        <color indexed="8"/>
      </right>
      <top style="thin">
        <color indexed="8"/>
      </top>
      <bottom style="thin">
        <color indexed="8"/>
      </bottom>
      <diagonal/>
    </border>
    <border>
      <left style="hair">
        <color indexed="8"/>
      </left>
      <right style="hair">
        <color indexed="8"/>
      </right>
      <top style="thin">
        <color indexed="8"/>
      </top>
      <bottom/>
      <diagonal/>
    </border>
    <border>
      <left style="thin">
        <color indexed="8"/>
      </left>
      <right style="hair">
        <color indexed="8"/>
      </right>
      <top style="thin">
        <color indexed="8"/>
      </top>
      <bottom/>
      <diagonal/>
    </border>
    <border>
      <left style="hair">
        <color indexed="8"/>
      </left>
      <right style="thin">
        <color indexed="8"/>
      </right>
      <top style="thin">
        <color indexed="8"/>
      </top>
      <bottom/>
      <diagonal/>
    </border>
    <border>
      <left style="thin">
        <color indexed="8"/>
      </left>
      <right style="hair">
        <color indexed="8"/>
      </right>
      <top style="thin">
        <color indexed="8"/>
      </top>
      <bottom style="hair">
        <color indexed="8"/>
      </bottom>
      <diagonal/>
    </border>
    <border>
      <left style="hair">
        <color indexed="8"/>
      </left>
      <right style="hair">
        <color indexed="8"/>
      </right>
      <top style="thin">
        <color indexed="8"/>
      </top>
      <bottom style="hair">
        <color indexed="8"/>
      </bottom>
      <diagonal/>
    </border>
    <border>
      <left style="hair">
        <color indexed="8"/>
      </left>
      <right style="hair">
        <color indexed="8"/>
      </right>
      <top/>
      <bottom style="thin">
        <color indexed="8"/>
      </bottom>
      <diagonal/>
    </border>
    <border>
      <left style="thin">
        <color indexed="8"/>
      </left>
      <right style="hair">
        <color indexed="8"/>
      </right>
      <top/>
      <bottom style="thin">
        <color indexed="8"/>
      </bottom>
      <diagonal/>
    </border>
    <border>
      <left style="hair">
        <color indexed="8"/>
      </left>
      <right style="thin">
        <color indexed="8"/>
      </right>
      <top/>
      <bottom style="thin">
        <color indexed="8"/>
      </bottom>
      <diagonal/>
    </border>
    <border>
      <left style="hair">
        <color indexed="8"/>
      </left>
      <right style="hair">
        <color indexed="8"/>
      </right>
      <top style="thin">
        <color indexed="8"/>
      </top>
      <bottom style="hair">
        <color indexed="55"/>
      </bottom>
      <diagonal/>
    </border>
    <border>
      <left style="thin">
        <color indexed="8"/>
      </left>
      <right/>
      <top style="hair">
        <color indexed="8"/>
      </top>
      <bottom/>
      <diagonal/>
    </border>
    <border>
      <left/>
      <right/>
      <top style="hair">
        <color indexed="8"/>
      </top>
      <bottom/>
      <diagonal/>
    </border>
    <border>
      <left/>
      <right style="thin">
        <color indexed="8"/>
      </right>
      <top style="hair">
        <color indexed="8"/>
      </top>
      <bottom/>
      <diagonal/>
    </border>
    <border>
      <left/>
      <right/>
      <top/>
      <bottom style="hair">
        <color indexed="8"/>
      </bottom>
      <diagonal/>
    </border>
    <border>
      <left/>
      <right style="hair">
        <color indexed="8"/>
      </right>
      <top/>
      <bottom style="thin">
        <color indexed="8"/>
      </bottom>
      <diagonal/>
    </border>
    <border>
      <left style="thin">
        <color indexed="8"/>
      </left>
      <right/>
      <top style="thin">
        <color indexed="8"/>
      </top>
      <bottom style="hair">
        <color indexed="8"/>
      </bottom>
      <diagonal/>
    </border>
    <border>
      <left/>
      <right style="thin">
        <color indexed="8"/>
      </right>
      <top style="thin">
        <color indexed="8"/>
      </top>
      <bottom style="hair">
        <color indexed="8"/>
      </bottom>
      <diagonal/>
    </border>
    <border>
      <left style="hair">
        <color indexed="8"/>
      </left>
      <right style="thin">
        <color indexed="8"/>
      </right>
      <top style="thin">
        <color indexed="8"/>
      </top>
      <bottom style="hair">
        <color indexed="8"/>
      </bottom>
      <diagonal/>
    </border>
    <border>
      <left/>
      <right style="thin">
        <color indexed="8"/>
      </right>
      <top style="hair">
        <color indexed="8"/>
      </top>
      <bottom style="hair">
        <color indexed="8"/>
      </bottom>
      <diagonal/>
    </border>
    <border>
      <left style="thin">
        <color indexed="8"/>
      </left>
      <right style="hair">
        <color indexed="8"/>
      </right>
      <top style="hair">
        <color indexed="8"/>
      </top>
      <bottom/>
      <diagonal/>
    </border>
    <border>
      <left style="hair">
        <color indexed="8"/>
      </left>
      <right style="hair">
        <color indexed="8"/>
      </right>
      <top style="hair">
        <color indexed="8"/>
      </top>
      <bottom style="thin">
        <color indexed="8"/>
      </bottom>
      <diagonal/>
    </border>
    <border>
      <left style="thin">
        <color indexed="8"/>
      </left>
      <right/>
      <top style="hair">
        <color indexed="8"/>
      </top>
      <bottom style="thin">
        <color indexed="8"/>
      </bottom>
      <diagonal/>
    </border>
    <border>
      <left/>
      <right style="thin">
        <color indexed="8"/>
      </right>
      <top style="hair">
        <color indexed="8"/>
      </top>
      <bottom style="thin">
        <color indexed="8"/>
      </bottom>
      <diagonal/>
    </border>
    <border>
      <left style="thin">
        <color indexed="8"/>
      </left>
      <right style="hair">
        <color indexed="8"/>
      </right>
      <top style="hair">
        <color indexed="8"/>
      </top>
      <bottom style="thin">
        <color indexed="8"/>
      </bottom>
      <diagonal/>
    </border>
    <border>
      <left style="hair">
        <color indexed="8"/>
      </left>
      <right style="thin">
        <color indexed="8"/>
      </right>
      <top style="hair">
        <color indexed="8"/>
      </top>
      <bottom style="thin">
        <color indexed="8"/>
      </bottom>
      <diagonal/>
    </border>
    <border>
      <left/>
      <right/>
      <top style="thin">
        <color indexed="23"/>
      </top>
      <bottom style="thin">
        <color indexed="23"/>
      </bottom>
      <diagonal/>
    </border>
    <border>
      <left style="thin">
        <color indexed="23"/>
      </left>
      <right/>
      <top style="thin">
        <color indexed="23"/>
      </top>
      <bottom style="thin">
        <color indexed="23"/>
      </bottom>
      <diagonal/>
    </border>
    <border>
      <left/>
      <right style="thin">
        <color indexed="23"/>
      </right>
      <top style="thin">
        <color indexed="23"/>
      </top>
      <bottom style="thin">
        <color indexed="23"/>
      </bottom>
      <diagonal/>
    </border>
    <border>
      <left/>
      <right/>
      <top style="hair">
        <color indexed="8"/>
      </top>
      <bottom style="hair">
        <color indexed="8"/>
      </bottom>
      <diagonal/>
    </border>
    <border>
      <left style="hair">
        <color indexed="8"/>
      </left>
      <right/>
      <top style="hair">
        <color indexed="8"/>
      </top>
      <bottom style="hair">
        <color indexed="8"/>
      </bottom>
      <diagonal/>
    </border>
    <border>
      <left/>
      <right style="hair">
        <color indexed="8"/>
      </right>
      <top style="hair">
        <color indexed="8"/>
      </top>
      <bottom style="hair">
        <color indexed="8"/>
      </bottom>
      <diagonal/>
    </border>
    <border>
      <left style="thin">
        <color indexed="8"/>
      </left>
      <right/>
      <top style="thin">
        <color indexed="8"/>
      </top>
      <bottom/>
      <diagonal/>
    </border>
    <border>
      <left/>
      <right style="thin">
        <color indexed="8"/>
      </right>
      <top/>
      <bottom style="hair">
        <color indexed="8"/>
      </bottom>
      <diagonal/>
    </border>
    <border>
      <left style="thin">
        <color indexed="8"/>
      </left>
      <right style="thin">
        <color indexed="8"/>
      </right>
      <top style="thin">
        <color indexed="8"/>
      </top>
      <bottom style="hair">
        <color indexed="8"/>
      </bottom>
      <diagonal/>
    </border>
    <border>
      <left/>
      <right/>
      <top style="thin">
        <color indexed="8"/>
      </top>
      <bottom style="hair">
        <color indexed="8"/>
      </bottom>
      <diagonal/>
    </border>
    <border>
      <left style="thin">
        <color indexed="8"/>
      </left>
      <right style="thin">
        <color indexed="8"/>
      </right>
      <top style="hair">
        <color indexed="8"/>
      </top>
      <bottom/>
      <diagonal/>
    </border>
    <border>
      <left style="thin">
        <color indexed="8"/>
      </left>
      <right style="thin">
        <color indexed="8"/>
      </right>
      <top style="hair">
        <color indexed="8"/>
      </top>
      <bottom style="thin">
        <color indexed="8"/>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hair">
        <color indexed="8"/>
      </right>
      <top style="hair">
        <color indexed="8"/>
      </top>
      <bottom/>
      <diagonal/>
    </border>
    <border>
      <left style="medium">
        <color indexed="64"/>
      </left>
      <right style="hair">
        <color indexed="8"/>
      </right>
      <top style="medium">
        <color indexed="64"/>
      </top>
      <bottom style="medium">
        <color indexed="64"/>
      </bottom>
      <diagonal/>
    </border>
    <border>
      <left style="hair">
        <color indexed="8"/>
      </left>
      <right style="medium">
        <color indexed="64"/>
      </right>
      <top style="medium">
        <color indexed="64"/>
      </top>
      <bottom style="medium">
        <color indexed="64"/>
      </bottom>
      <diagonal/>
    </border>
    <border>
      <left style="medium">
        <color indexed="8"/>
      </left>
      <right style="medium">
        <color indexed="8"/>
      </right>
      <top style="medium">
        <color indexed="8"/>
      </top>
      <bottom style="medium">
        <color indexed="8"/>
      </bottom>
      <diagonal/>
    </border>
    <border>
      <left/>
      <right/>
      <top/>
      <bottom style="thin">
        <color indexed="23"/>
      </bottom>
      <diagonal/>
    </border>
    <border>
      <left style="thin">
        <color indexed="8"/>
      </left>
      <right/>
      <top/>
      <bottom style="thin">
        <color indexed="64"/>
      </bottom>
      <diagonal/>
    </border>
    <border>
      <left style="thin">
        <color indexed="23"/>
      </left>
      <right style="hair">
        <color indexed="64"/>
      </right>
      <top style="thin">
        <color indexed="23"/>
      </top>
      <bottom style="thin">
        <color indexed="23"/>
      </bottom>
      <diagonal/>
    </border>
    <border>
      <left style="thin">
        <color indexed="23"/>
      </left>
      <right/>
      <top style="thin">
        <color indexed="23"/>
      </top>
      <bottom/>
      <diagonal/>
    </border>
    <border>
      <left style="thin">
        <color indexed="64"/>
      </left>
      <right/>
      <top style="thin">
        <color indexed="64"/>
      </top>
      <bottom style="thin">
        <color indexed="64"/>
      </bottom>
      <diagonal/>
    </border>
    <border>
      <left style="thin">
        <color indexed="23"/>
      </left>
      <right/>
      <top/>
      <bottom style="thin">
        <color indexed="23"/>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8"/>
      </right>
      <top/>
      <bottom style="thin">
        <color indexed="64"/>
      </bottom>
      <diagonal/>
    </border>
    <border>
      <left/>
      <right/>
      <top style="medium">
        <color indexed="64"/>
      </top>
      <bottom style="medium">
        <color indexed="64"/>
      </bottom>
      <diagonal/>
    </border>
    <border>
      <left style="thin">
        <color indexed="8"/>
      </left>
      <right/>
      <top style="hair">
        <color indexed="8"/>
      </top>
      <bottom style="thin">
        <color indexed="64"/>
      </bottom>
      <diagonal/>
    </border>
    <border>
      <left/>
      <right/>
      <top style="hair">
        <color indexed="8"/>
      </top>
      <bottom style="thin">
        <color indexed="64"/>
      </bottom>
      <diagonal/>
    </border>
    <border>
      <left/>
      <right style="hair">
        <color indexed="8"/>
      </right>
      <top style="hair">
        <color indexed="8"/>
      </top>
      <bottom style="thin">
        <color indexed="8"/>
      </bottom>
      <diagonal/>
    </border>
    <border>
      <left/>
      <right style="hair">
        <color indexed="64"/>
      </right>
      <top/>
      <bottom/>
      <diagonal/>
    </border>
    <border>
      <left style="hair">
        <color indexed="8"/>
      </left>
      <right style="hair">
        <color indexed="8"/>
      </right>
      <top style="hair">
        <color indexed="55"/>
      </top>
      <bottom style="hair">
        <color indexed="64"/>
      </bottom>
      <diagonal/>
    </border>
    <border>
      <left style="hair">
        <color indexed="8"/>
      </left>
      <right/>
      <top style="thin">
        <color indexed="8"/>
      </top>
      <bottom/>
      <diagonal/>
    </border>
    <border>
      <left style="hair">
        <color indexed="8"/>
      </left>
      <right/>
      <top/>
      <bottom style="thin">
        <color indexed="8"/>
      </bottom>
      <diagonal/>
    </border>
    <border>
      <left style="hair">
        <color indexed="8"/>
      </left>
      <right/>
      <top style="thin">
        <color indexed="8"/>
      </top>
      <bottom style="hair">
        <color indexed="8"/>
      </bottom>
      <diagonal/>
    </border>
    <border>
      <left style="hair">
        <color indexed="8"/>
      </left>
      <right/>
      <top style="hair">
        <color indexed="8"/>
      </top>
      <bottom/>
      <diagonal/>
    </border>
    <border>
      <left style="hair">
        <color indexed="8"/>
      </left>
      <right/>
      <top style="hair">
        <color indexed="8"/>
      </top>
      <bottom style="thin">
        <color indexed="8"/>
      </bottom>
      <diagonal/>
    </border>
    <border>
      <left/>
      <right/>
      <top style="hair">
        <color indexed="8"/>
      </top>
      <bottom style="thin">
        <color indexed="8"/>
      </bottom>
      <diagonal/>
    </border>
    <border>
      <left style="thin">
        <color indexed="23"/>
      </left>
      <right/>
      <top/>
      <bottom/>
      <diagonal/>
    </border>
    <border>
      <left/>
      <right/>
      <top style="thin">
        <color theme="0" tint="-0.499984740745262"/>
      </top>
      <bottom/>
      <diagonal/>
    </border>
    <border>
      <left style="thin">
        <color theme="0" tint="-0.499984740745262"/>
      </left>
      <right/>
      <top/>
      <bottom/>
      <diagonal/>
    </border>
    <border>
      <left style="thin">
        <color theme="0" tint="-0.499984740745262"/>
      </left>
      <right/>
      <top style="thin">
        <color theme="0" tint="-0.499984740745262"/>
      </top>
      <bottom/>
      <diagonal/>
    </border>
    <border>
      <left style="thin">
        <color indexed="64"/>
      </left>
      <right style="thin">
        <color indexed="64"/>
      </right>
      <top style="thin">
        <color indexed="64"/>
      </top>
      <bottom style="thin">
        <color auto="1"/>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thin">
        <color indexed="64"/>
      </left>
      <right style="thin">
        <color indexed="64"/>
      </right>
      <top style="thin">
        <color auto="1"/>
      </top>
      <bottom/>
      <diagonal/>
    </border>
    <border>
      <left/>
      <right style="thin">
        <color indexed="8"/>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51">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2" fillId="7" borderId="0" applyNumberFormat="0" applyBorder="0" applyAlignment="0" applyProtection="0"/>
    <xf numFmtId="0" fontId="2" fillId="3" borderId="0" applyNumberFormat="0" applyBorder="0" applyAlignment="0" applyProtection="0"/>
    <xf numFmtId="0" fontId="2" fillId="8" borderId="0" applyNumberFormat="0" applyBorder="0" applyAlignment="0" applyProtection="0"/>
    <xf numFmtId="0" fontId="2" fillId="6"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3" fillId="2" borderId="0" applyNumberFormat="0" applyBorder="0" applyAlignment="0" applyProtection="0"/>
    <xf numFmtId="0" fontId="4" fillId="11" borderId="1" applyNumberFormat="0" applyAlignment="0" applyProtection="0"/>
    <xf numFmtId="0" fontId="5" fillId="12" borderId="2" applyNumberFormat="0" applyAlignment="0" applyProtection="0"/>
    <xf numFmtId="0" fontId="6" fillId="0" borderId="3" applyNumberFormat="0" applyFill="0" applyAlignment="0" applyProtection="0"/>
    <xf numFmtId="0" fontId="2" fillId="9"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0" borderId="0" applyNumberFormat="0" applyBorder="0" applyAlignment="0" applyProtection="0"/>
    <xf numFmtId="0" fontId="7" fillId="3" borderId="1" applyNumberFormat="0" applyAlignment="0" applyProtection="0"/>
    <xf numFmtId="0" fontId="61" fillId="0" borderId="0" applyNumberFormat="0" applyFill="0" applyBorder="0" applyAlignment="0" applyProtection="0"/>
    <xf numFmtId="181" fontId="56" fillId="0" borderId="0" applyFill="0" applyBorder="0" applyAlignment="0" applyProtection="0"/>
    <xf numFmtId="165" fontId="56" fillId="0" borderId="0" applyFill="0" applyBorder="0" applyAlignment="0" applyProtection="0"/>
    <xf numFmtId="0" fontId="56" fillId="0" borderId="0"/>
    <xf numFmtId="0" fontId="1" fillId="0" borderId="0"/>
    <xf numFmtId="0" fontId="8" fillId="0" borderId="0"/>
    <xf numFmtId="0" fontId="56" fillId="5" borderId="4" applyNumberFormat="0" applyAlignment="0" applyProtection="0"/>
    <xf numFmtId="9" fontId="56" fillId="0" borderId="0" applyFill="0" applyBorder="0" applyAlignment="0" applyProtection="0"/>
    <xf numFmtId="9" fontId="56" fillId="0" borderId="0" applyFill="0" applyBorder="0" applyAlignment="0" applyProtection="0"/>
    <xf numFmtId="0" fontId="9" fillId="11" borderId="5" applyNumberFormat="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3" fillId="0" borderId="6" applyNumberFormat="0" applyFill="0" applyAlignment="0" applyProtection="0"/>
    <xf numFmtId="0" fontId="14" fillId="0" borderId="7" applyNumberFormat="0" applyFill="0" applyAlignment="0" applyProtection="0"/>
    <xf numFmtId="0" fontId="15" fillId="0" borderId="8" applyNumberFormat="0" applyFill="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2" fillId="0" borderId="9" applyNumberFormat="0" applyFill="0" applyAlignment="0" applyProtection="0"/>
    <xf numFmtId="172" fontId="56" fillId="0" borderId="0" applyFill="0" applyBorder="0" applyAlignment="0" applyProtection="0"/>
    <xf numFmtId="166" fontId="56" fillId="0" borderId="0" applyFill="0" applyBorder="0" applyAlignment="0" applyProtection="0"/>
    <xf numFmtId="0" fontId="67" fillId="0" borderId="0"/>
  </cellStyleXfs>
  <cellXfs count="852">
    <xf numFmtId="0" fontId="0" fillId="0" borderId="0" xfId="0"/>
    <xf numFmtId="0" fontId="0" fillId="0" borderId="10" xfId="0" applyBorder="1"/>
    <xf numFmtId="0" fontId="0" fillId="0" borderId="11" xfId="0" applyBorder="1"/>
    <xf numFmtId="0" fontId="0" fillId="0" borderId="0" xfId="0" applyAlignment="1">
      <alignment vertical="center"/>
    </xf>
    <xf numFmtId="0" fontId="0" fillId="0" borderId="12" xfId="0" applyBorder="1"/>
    <xf numFmtId="0" fontId="0" fillId="6" borderId="0" xfId="0" applyFill="1"/>
    <xf numFmtId="0" fontId="0" fillId="16" borderId="0" xfId="0" applyFill="1" applyAlignment="1">
      <alignment vertical="center"/>
    </xf>
    <xf numFmtId="0" fontId="0" fillId="0" borderId="0" xfId="0" applyAlignment="1">
      <alignment horizontal="center"/>
    </xf>
    <xf numFmtId="0" fontId="23" fillId="0" borderId="0" xfId="0" applyFont="1" applyAlignment="1">
      <alignment vertical="center"/>
    </xf>
    <xf numFmtId="0" fontId="24" fillId="0" borderId="0" xfId="0" applyFont="1"/>
    <xf numFmtId="0" fontId="24" fillId="0" borderId="13" xfId="0" applyFont="1" applyBorder="1" applyAlignment="1">
      <alignment horizontal="left"/>
    </xf>
    <xf numFmtId="0" fontId="24" fillId="0" borderId="13" xfId="0" applyFont="1" applyBorder="1" applyAlignment="1">
      <alignment horizontal="center"/>
    </xf>
    <xf numFmtId="0" fontId="0" fillId="0" borderId="0" xfId="0" applyAlignment="1">
      <alignment horizontal="left"/>
    </xf>
    <xf numFmtId="0" fontId="0" fillId="0" borderId="14" xfId="0" applyBorder="1" applyAlignment="1">
      <alignment vertical="center"/>
    </xf>
    <xf numFmtId="0" fontId="0" fillId="16" borderId="15" xfId="0" applyFill="1" applyBorder="1" applyAlignment="1" applyProtection="1">
      <alignment vertical="center"/>
      <protection locked="0"/>
    </xf>
    <xf numFmtId="0" fontId="0" fillId="0" borderId="16" xfId="0" applyBorder="1" applyAlignment="1">
      <alignment vertical="center"/>
    </xf>
    <xf numFmtId="49" fontId="0" fillId="6" borderId="17" xfId="0" applyNumberFormat="1" applyFill="1" applyBorder="1" applyAlignment="1" applyProtection="1">
      <alignment vertical="center"/>
      <protection locked="0"/>
    </xf>
    <xf numFmtId="0" fontId="0" fillId="0" borderId="18" xfId="0" applyBorder="1" applyAlignment="1">
      <alignment vertical="center"/>
    </xf>
    <xf numFmtId="49" fontId="0" fillId="6" borderId="19" xfId="0" applyNumberFormat="1" applyFill="1" applyBorder="1" applyAlignment="1" applyProtection="1">
      <alignment vertical="center"/>
      <protection locked="0"/>
    </xf>
    <xf numFmtId="4" fontId="0" fillId="6" borderId="19" xfId="0" applyNumberFormat="1" applyFill="1" applyBorder="1" applyAlignment="1" applyProtection="1">
      <alignment horizontal="left" vertical="center"/>
      <protection locked="0"/>
    </xf>
    <xf numFmtId="10" fontId="0" fillId="6" borderId="19" xfId="0" applyNumberFormat="1" applyFill="1" applyBorder="1" applyAlignment="1" applyProtection="1">
      <alignment horizontal="left" vertical="center"/>
      <protection locked="0"/>
    </xf>
    <xf numFmtId="0" fontId="0" fillId="0" borderId="20" xfId="0" applyBorder="1" applyAlignment="1">
      <alignment vertical="center"/>
    </xf>
    <xf numFmtId="10" fontId="0" fillId="6" borderId="21" xfId="0" applyNumberFormat="1" applyFill="1" applyBorder="1" applyAlignment="1" applyProtection="1">
      <alignment horizontal="left" vertical="center"/>
      <protection locked="0"/>
    </xf>
    <xf numFmtId="10" fontId="0" fillId="0" borderId="0" xfId="0" applyNumberFormat="1" applyAlignment="1">
      <alignment horizontal="left" vertical="center"/>
    </xf>
    <xf numFmtId="0" fontId="0" fillId="0" borderId="22" xfId="0" applyBorder="1" applyAlignment="1">
      <alignment vertical="center"/>
    </xf>
    <xf numFmtId="49" fontId="0" fillId="6" borderId="23" xfId="0" applyNumberFormat="1" applyFill="1" applyBorder="1" applyAlignment="1" applyProtection="1">
      <alignment vertical="center" wrapText="1"/>
      <protection locked="0"/>
    </xf>
    <xf numFmtId="49" fontId="0" fillId="6" borderId="24" xfId="0" applyNumberFormat="1" applyFill="1" applyBorder="1" applyAlignment="1" applyProtection="1">
      <alignment vertical="center" wrapText="1"/>
      <protection locked="0"/>
    </xf>
    <xf numFmtId="0" fontId="0" fillId="16" borderId="24" xfId="0" applyFill="1" applyBorder="1" applyAlignment="1" applyProtection="1">
      <alignment vertical="center"/>
      <protection locked="0"/>
    </xf>
    <xf numFmtId="0" fontId="0" fillId="0" borderId="25" xfId="0" applyBorder="1" applyAlignment="1">
      <alignment vertical="center"/>
    </xf>
    <xf numFmtId="167" fontId="0" fillId="6" borderId="21" xfId="0" applyNumberFormat="1" applyFill="1" applyBorder="1" applyAlignment="1" applyProtection="1">
      <alignment horizontal="left" vertical="center"/>
      <protection locked="0"/>
    </xf>
    <xf numFmtId="4" fontId="0" fillId="0" borderId="0" xfId="0" applyNumberFormat="1" applyAlignment="1">
      <alignment vertical="center"/>
    </xf>
    <xf numFmtId="0" fontId="0" fillId="6" borderId="17" xfId="0" applyFill="1" applyBorder="1" applyAlignment="1" applyProtection="1">
      <alignment vertical="center"/>
      <protection locked="0"/>
    </xf>
    <xf numFmtId="14" fontId="0" fillId="6" borderId="21" xfId="0" applyNumberFormat="1" applyFill="1" applyBorder="1" applyAlignment="1" applyProtection="1">
      <alignment horizontal="left" vertical="center"/>
      <protection locked="0"/>
    </xf>
    <xf numFmtId="0" fontId="0" fillId="6" borderId="15" xfId="0" applyFill="1" applyBorder="1" applyAlignment="1" applyProtection="1">
      <alignment vertical="center"/>
      <protection locked="0"/>
    </xf>
    <xf numFmtId="0" fontId="0" fillId="6" borderId="21" xfId="0" applyFill="1" applyBorder="1" applyAlignment="1" applyProtection="1">
      <alignment vertical="center"/>
      <protection locked="0"/>
    </xf>
    <xf numFmtId="14" fontId="0" fillId="6" borderId="15" xfId="0" applyNumberFormat="1" applyFill="1" applyBorder="1" applyAlignment="1" applyProtection="1">
      <alignment horizontal="left" vertical="center"/>
      <protection locked="0"/>
    </xf>
    <xf numFmtId="167" fontId="0" fillId="6" borderId="26" xfId="0" applyNumberFormat="1" applyFill="1" applyBorder="1" applyAlignment="1" applyProtection="1">
      <alignment horizontal="left" vertical="center"/>
      <protection locked="0"/>
    </xf>
    <xf numFmtId="14" fontId="0" fillId="6" borderId="27" xfId="0" applyNumberFormat="1" applyFill="1" applyBorder="1" applyAlignment="1" applyProtection="1">
      <alignment horizontal="left" vertical="center"/>
      <protection locked="0"/>
    </xf>
    <xf numFmtId="49" fontId="0" fillId="6" borderId="15" xfId="0" applyNumberFormat="1" applyFill="1" applyBorder="1" applyAlignment="1" applyProtection="1">
      <alignment vertical="center"/>
      <protection locked="0"/>
    </xf>
    <xf numFmtId="49" fontId="0" fillId="6" borderId="27" xfId="0" applyNumberFormat="1" applyFill="1" applyBorder="1" applyAlignment="1" applyProtection="1">
      <alignment vertical="center"/>
      <protection locked="0"/>
    </xf>
    <xf numFmtId="49" fontId="0" fillId="6" borderId="21" xfId="0" applyNumberFormat="1" applyFill="1" applyBorder="1" applyAlignment="1" applyProtection="1">
      <alignment vertical="center"/>
      <protection locked="0"/>
    </xf>
    <xf numFmtId="0" fontId="26" fillId="0" borderId="12" xfId="0" applyFont="1" applyBorder="1" applyAlignment="1">
      <alignment horizontal="left"/>
    </xf>
    <xf numFmtId="0" fontId="0" fillId="0" borderId="28" xfId="0" applyBorder="1"/>
    <xf numFmtId="0" fontId="27" fillId="0" borderId="29" xfId="0" applyFont="1" applyBorder="1" applyAlignment="1">
      <alignment horizontal="left" indent="1"/>
    </xf>
    <xf numFmtId="0" fontId="0" fillId="0" borderId="29" xfId="0" applyBorder="1" applyAlignment="1">
      <alignment vertical="center"/>
    </xf>
    <xf numFmtId="0" fontId="28" fillId="0" borderId="12" xfId="0" applyFont="1" applyBorder="1"/>
    <xf numFmtId="0" fontId="27" fillId="0" borderId="0" xfId="0" applyFont="1" applyAlignment="1">
      <alignment horizontal="left" indent="1"/>
    </xf>
    <xf numFmtId="0" fontId="12" fillId="0" borderId="0" xfId="0" applyFont="1" applyAlignment="1">
      <alignment horizontal="left" indent="1"/>
    </xf>
    <xf numFmtId="0" fontId="12" fillId="0" borderId="0" xfId="0" applyFont="1" applyAlignment="1">
      <alignment horizontal="left" vertical="top" indent="1"/>
    </xf>
    <xf numFmtId="0" fontId="0" fillId="0" borderId="0" xfId="33" applyFont="1"/>
    <xf numFmtId="0" fontId="24" fillId="0" borderId="0" xfId="33" applyFont="1" applyAlignment="1">
      <alignment horizontal="center"/>
    </xf>
    <xf numFmtId="0" fontId="23" fillId="0" borderId="0" xfId="33" applyFont="1" applyAlignment="1">
      <alignment horizontal="center"/>
    </xf>
    <xf numFmtId="0" fontId="0" fillId="0" borderId="30" xfId="0" applyBorder="1" applyAlignment="1">
      <alignment horizontal="center"/>
    </xf>
    <xf numFmtId="0" fontId="24" fillId="0" borderId="31" xfId="33" applyFont="1" applyBorder="1" applyAlignment="1">
      <alignment horizontal="center"/>
    </xf>
    <xf numFmtId="10" fontId="29" fillId="0" borderId="31" xfId="33" applyNumberFormat="1" applyFont="1" applyBorder="1" applyAlignment="1">
      <alignment horizontal="center"/>
    </xf>
    <xf numFmtId="0" fontId="24" fillId="0" borderId="30" xfId="35" applyFont="1" applyBorder="1" applyAlignment="1">
      <alignment horizontal="left" vertical="top"/>
    </xf>
    <xf numFmtId="0" fontId="0" fillId="0" borderId="13" xfId="33" applyFont="1" applyBorder="1" applyAlignment="1">
      <alignment horizontal="left" vertical="top" wrapText="1"/>
    </xf>
    <xf numFmtId="0" fontId="24" fillId="0" borderId="0" xfId="33" applyFont="1"/>
    <xf numFmtId="0" fontId="24" fillId="0" borderId="31" xfId="33" applyFont="1" applyBorder="1" applyAlignment="1">
      <alignment horizontal="center" vertical="center" wrapText="1"/>
    </xf>
    <xf numFmtId="0" fontId="8" fillId="0" borderId="0" xfId="33" applyFont="1" applyAlignment="1">
      <alignment horizontal="left"/>
    </xf>
    <xf numFmtId="0" fontId="30" fillId="0" borderId="31" xfId="33" applyFont="1" applyBorder="1" applyAlignment="1">
      <alignment horizontal="center" vertical="center"/>
    </xf>
    <xf numFmtId="10" fontId="30" fillId="6" borderId="31" xfId="33" applyNumberFormat="1" applyFont="1" applyFill="1" applyBorder="1" applyAlignment="1" applyProtection="1">
      <alignment horizontal="center" vertical="center"/>
      <protection locked="0"/>
    </xf>
    <xf numFmtId="10" fontId="30" fillId="0" borderId="31" xfId="33" applyNumberFormat="1" applyFont="1" applyBorder="1" applyAlignment="1">
      <alignment horizontal="center" vertical="center"/>
    </xf>
    <xf numFmtId="10" fontId="30" fillId="0" borderId="31" xfId="33" applyNumberFormat="1" applyFont="1" applyBorder="1" applyAlignment="1">
      <alignment horizontal="center" vertical="center" wrapText="1"/>
    </xf>
    <xf numFmtId="0" fontId="30" fillId="0" borderId="31" xfId="33" applyFont="1" applyBorder="1" applyAlignment="1">
      <alignment horizontal="center" vertical="center" wrapText="1"/>
    </xf>
    <xf numFmtId="0" fontId="30" fillId="8" borderId="31" xfId="33" applyFont="1" applyFill="1" applyBorder="1" applyAlignment="1">
      <alignment horizontal="center" vertical="center" wrapText="1"/>
    </xf>
    <xf numFmtId="10" fontId="17" fillId="8" borderId="31" xfId="33" applyNumberFormat="1" applyFont="1" applyFill="1" applyBorder="1" applyAlignment="1">
      <alignment horizontal="center" vertical="center"/>
    </xf>
    <xf numFmtId="0" fontId="31" fillId="0" borderId="0" xfId="33" applyFont="1" applyAlignment="1">
      <alignment horizontal="right" vertical="center"/>
    </xf>
    <xf numFmtId="0" fontId="0" fillId="0" borderId="0" xfId="33" applyFont="1" applyAlignment="1">
      <alignment horizontal="center" vertical="top"/>
    </xf>
    <xf numFmtId="0" fontId="33" fillId="0" borderId="0" xfId="0" applyFont="1" applyAlignment="1">
      <alignment horizontal="right" vertical="center"/>
    </xf>
    <xf numFmtId="0" fontId="33" fillId="0" borderId="0" xfId="0" applyFont="1" applyAlignment="1">
      <alignment horizontal="left" vertical="center"/>
    </xf>
    <xf numFmtId="0" fontId="33" fillId="0" borderId="0" xfId="0" applyFont="1" applyAlignment="1">
      <alignment horizontal="center" vertical="top"/>
    </xf>
    <xf numFmtId="0" fontId="35" fillId="0" borderId="0" xfId="33" applyFont="1" applyAlignment="1">
      <alignment horizontal="center" vertical="top"/>
    </xf>
    <xf numFmtId="170" fontId="0" fillId="0" borderId="0" xfId="33" applyNumberFormat="1" applyFont="1"/>
    <xf numFmtId="0" fontId="24" fillId="0" borderId="10" xfId="33" applyFont="1" applyBorder="1" applyAlignment="1">
      <alignment horizontal="left"/>
    </xf>
    <xf numFmtId="0" fontId="0" fillId="0" borderId="10" xfId="33" applyFont="1" applyBorder="1"/>
    <xf numFmtId="0" fontId="30" fillId="0" borderId="0" xfId="33" applyFont="1"/>
    <xf numFmtId="0" fontId="24" fillId="0" borderId="0" xfId="35" applyFont="1" applyAlignment="1">
      <alignment horizontal="left" vertical="top"/>
    </xf>
    <xf numFmtId="0" fontId="0" fillId="0" borderId="0" xfId="33" applyFont="1" applyAlignment="1">
      <alignment vertical="top"/>
    </xf>
    <xf numFmtId="168" fontId="0" fillId="0" borderId="0" xfId="33" applyNumberFormat="1" applyFont="1"/>
    <xf numFmtId="168" fontId="0" fillId="0" borderId="0" xfId="33" applyNumberFormat="1" applyFont="1" applyAlignment="1">
      <alignment vertical="top"/>
    </xf>
    <xf numFmtId="0" fontId="36" fillId="0" borderId="0" xfId="0" applyFont="1" applyAlignment="1">
      <alignment vertical="center"/>
    </xf>
    <xf numFmtId="0" fontId="23" fillId="0" borderId="0" xfId="0" applyFont="1" applyAlignment="1">
      <alignment horizontal="left" vertical="center"/>
    </xf>
    <xf numFmtId="0" fontId="37" fillId="0" borderId="0" xfId="0" applyFont="1" applyAlignment="1">
      <alignment horizontal="left" vertical="center"/>
    </xf>
    <xf numFmtId="0" fontId="24" fillId="0" borderId="0" xfId="0" applyFont="1" applyAlignment="1">
      <alignment horizontal="center"/>
    </xf>
    <xf numFmtId="0" fontId="38" fillId="0" borderId="0" xfId="0" applyFont="1"/>
    <xf numFmtId="0" fontId="0" fillId="0" borderId="0" xfId="0" applyAlignment="1">
      <alignment wrapText="1"/>
    </xf>
    <xf numFmtId="10" fontId="0" fillId="0" borderId="0" xfId="0" applyNumberFormat="1"/>
    <xf numFmtId="0" fontId="24" fillId="0" borderId="30" xfId="35" applyFont="1" applyBorder="1" applyAlignment="1">
      <alignment vertical="top"/>
    </xf>
    <xf numFmtId="0" fontId="0" fillId="0" borderId="31" xfId="0" applyBorder="1"/>
    <xf numFmtId="0" fontId="0" fillId="0" borderId="31" xfId="0" applyBorder="1" applyProtection="1">
      <protection locked="0"/>
    </xf>
    <xf numFmtId="0" fontId="0" fillId="0" borderId="13" xfId="33" applyFont="1" applyBorder="1" applyAlignment="1">
      <alignment vertical="top" wrapText="1"/>
    </xf>
    <xf numFmtId="0" fontId="0" fillId="0" borderId="28" xfId="33" applyFont="1" applyBorder="1" applyAlignment="1">
      <alignment vertical="top" wrapText="1"/>
    </xf>
    <xf numFmtId="0" fontId="0" fillId="0" borderId="0" xfId="33" applyFont="1" applyAlignment="1">
      <alignment horizontal="left" vertical="top" wrapText="1"/>
    </xf>
    <xf numFmtId="0" fontId="0" fillId="0" borderId="10" xfId="33" applyFont="1" applyBorder="1" applyAlignment="1">
      <alignment horizontal="left" vertical="top" wrapText="1"/>
    </xf>
    <xf numFmtId="0" fontId="0" fillId="0" borderId="10" xfId="33" applyFont="1" applyBorder="1" applyAlignment="1">
      <alignment vertical="top" wrapText="1"/>
    </xf>
    <xf numFmtId="0" fontId="22" fillId="0" borderId="0" xfId="0" applyFont="1" applyAlignment="1">
      <alignment horizontal="center"/>
    </xf>
    <xf numFmtId="0" fontId="24" fillId="0" borderId="32" xfId="35" applyFont="1" applyBorder="1" applyAlignment="1">
      <alignment horizontal="left" vertical="top"/>
    </xf>
    <xf numFmtId="0" fontId="24" fillId="0" borderId="0" xfId="35" applyFont="1" applyAlignment="1">
      <alignment horizontal="center" vertical="top"/>
    </xf>
    <xf numFmtId="0" fontId="24" fillId="0" borderId="30" xfId="35" applyFont="1" applyBorder="1" applyAlignment="1">
      <alignment horizontal="center" vertical="top"/>
    </xf>
    <xf numFmtId="171" fontId="0" fillId="0" borderId="13" xfId="33" applyNumberFormat="1" applyFont="1" applyBorder="1" applyAlignment="1">
      <alignment vertical="top" shrinkToFit="1"/>
    </xf>
    <xf numFmtId="0" fontId="0" fillId="0" borderId="29" xfId="33" applyFont="1" applyBorder="1" applyAlignment="1">
      <alignment horizontal="center" vertical="top" wrapText="1"/>
    </xf>
    <xf numFmtId="0" fontId="0" fillId="0" borderId="13" xfId="33" applyFont="1" applyBorder="1" applyAlignment="1">
      <alignment horizontal="center" vertical="top" wrapText="1"/>
    </xf>
    <xf numFmtId="10" fontId="0" fillId="0" borderId="0" xfId="0" applyNumberFormat="1" applyAlignment="1">
      <alignment vertical="center" wrapText="1"/>
    </xf>
    <xf numFmtId="0" fontId="42" fillId="0" borderId="33" xfId="0" applyFont="1" applyBorder="1" applyAlignment="1">
      <alignment horizontal="center" vertical="center" wrapText="1"/>
    </xf>
    <xf numFmtId="0" fontId="43" fillId="0" borderId="0" xfId="0" applyFont="1"/>
    <xf numFmtId="0" fontId="22" fillId="0" borderId="13" xfId="0" applyFont="1" applyBorder="1" applyAlignment="1">
      <alignment horizontal="center"/>
    </xf>
    <xf numFmtId="1" fontId="44" fillId="0" borderId="0" xfId="0" applyNumberFormat="1" applyFont="1" applyAlignment="1">
      <alignment horizontal="center" vertical="center"/>
    </xf>
    <xf numFmtId="0" fontId="24" fillId="0" borderId="31" xfId="0" applyFont="1" applyBorder="1" applyAlignment="1">
      <alignment horizontal="center" vertical="center" wrapText="1"/>
    </xf>
    <xf numFmtId="0" fontId="45" fillId="0" borderId="31" xfId="0" applyFont="1" applyBorder="1" applyAlignment="1">
      <alignment horizontal="center" vertical="center" wrapText="1"/>
    </xf>
    <xf numFmtId="0" fontId="24" fillId="0" borderId="31" xfId="0" applyFont="1" applyBorder="1" applyAlignment="1">
      <alignment horizontal="center" vertical="center"/>
    </xf>
    <xf numFmtId="0" fontId="24" fillId="0" borderId="34" xfId="0" applyFont="1" applyBorder="1" applyAlignment="1">
      <alignment horizontal="center" vertical="center" wrapText="1"/>
    </xf>
    <xf numFmtId="0" fontId="24" fillId="0" borderId="35" xfId="0" applyFont="1" applyBorder="1" applyAlignment="1">
      <alignment horizontal="center" vertical="center" wrapText="1"/>
    </xf>
    <xf numFmtId="0" fontId="24" fillId="0" borderId="0" xfId="0" applyFont="1" applyAlignment="1">
      <alignment horizontal="center" vertical="center" wrapText="1"/>
    </xf>
    <xf numFmtId="0" fontId="24" fillId="0" borderId="36" xfId="0" applyFont="1" applyBorder="1" applyAlignment="1">
      <alignment horizontal="center" vertical="center" wrapText="1"/>
    </xf>
    <xf numFmtId="0" fontId="39" fillId="0" borderId="0" xfId="0" applyFont="1" applyAlignment="1">
      <alignment horizontal="center"/>
    </xf>
    <xf numFmtId="0" fontId="8" fillId="16" borderId="37" xfId="0" applyFont="1" applyFill="1" applyBorder="1" applyAlignment="1" applyProtection="1">
      <alignment horizontal="center" vertical="center" wrapText="1"/>
      <protection locked="0"/>
    </xf>
    <xf numFmtId="0" fontId="8" fillId="0" borderId="37" xfId="0" applyFont="1" applyBorder="1" applyAlignment="1">
      <alignment horizontal="center" vertical="center" wrapText="1"/>
    </xf>
    <xf numFmtId="0" fontId="0" fillId="0" borderId="38" xfId="0" applyBorder="1" applyAlignment="1">
      <alignment vertical="center" wrapText="1" shrinkToFit="1"/>
    </xf>
    <xf numFmtId="49" fontId="0" fillId="16" borderId="39" xfId="0" applyNumberFormat="1" applyFill="1" applyBorder="1" applyAlignment="1" applyProtection="1">
      <alignment horizontal="center" vertical="center" wrapText="1"/>
      <protection locked="0"/>
    </xf>
    <xf numFmtId="49" fontId="0" fillId="6" borderId="39" xfId="0" applyNumberFormat="1" applyFill="1" applyBorder="1" applyAlignment="1" applyProtection="1">
      <alignment horizontal="center" vertical="center" wrapText="1"/>
      <protection locked="0"/>
    </xf>
    <xf numFmtId="0" fontId="0" fillId="6" borderId="39" xfId="0" applyFill="1" applyBorder="1" applyAlignment="1" applyProtection="1">
      <alignment horizontal="left" vertical="center" wrapText="1"/>
      <protection locked="0"/>
    </xf>
    <xf numFmtId="0" fontId="0" fillId="6" borderId="39" xfId="0" applyFill="1" applyBorder="1" applyAlignment="1" applyProtection="1">
      <alignment horizontal="center" vertical="center" wrapText="1"/>
      <protection locked="0"/>
    </xf>
    <xf numFmtId="172" fontId="0" fillId="0" borderId="39" xfId="48" applyFont="1" applyFill="1" applyBorder="1" applyAlignment="1" applyProtection="1">
      <alignment vertical="center" shrinkToFit="1"/>
    </xf>
    <xf numFmtId="172" fontId="0" fillId="6" borderId="39" xfId="48" applyFont="1" applyFill="1" applyBorder="1" applyAlignment="1" applyProtection="1">
      <alignment vertical="center" wrapText="1"/>
      <protection locked="0"/>
    </xf>
    <xf numFmtId="10" fontId="0" fillId="16" borderId="39" xfId="37" applyNumberFormat="1" applyFont="1" applyFill="1" applyBorder="1" applyAlignment="1" applyProtection="1">
      <alignment horizontal="center" vertical="center" wrapText="1"/>
      <protection locked="0"/>
    </xf>
    <xf numFmtId="172" fontId="0" fillId="0" borderId="40" xfId="48" applyFont="1" applyFill="1" applyBorder="1" applyAlignment="1" applyProtection="1">
      <alignment horizontal="center" vertical="center" shrinkToFit="1"/>
    </xf>
    <xf numFmtId="10" fontId="39" fillId="16" borderId="41" xfId="37" applyNumberFormat="1" applyFont="1" applyFill="1" applyBorder="1" applyAlignment="1" applyProtection="1">
      <alignment horizontal="center" vertical="center"/>
      <protection locked="0"/>
    </xf>
    <xf numFmtId="0" fontId="0" fillId="0" borderId="42" xfId="0" applyBorder="1"/>
    <xf numFmtId="0" fontId="0" fillId="0" borderId="43" xfId="0" applyBorder="1"/>
    <xf numFmtId="0" fontId="22" fillId="0" borderId="0" xfId="0" applyFont="1"/>
    <xf numFmtId="0" fontId="24" fillId="17" borderId="31" xfId="0" applyFont="1" applyFill="1" applyBorder="1" applyAlignment="1">
      <alignment horizontal="center" vertical="center"/>
    </xf>
    <xf numFmtId="172" fontId="24" fillId="17" borderId="44" xfId="48" applyFont="1" applyFill="1" applyBorder="1" applyAlignment="1" applyProtection="1">
      <alignment horizontal="center" vertical="center" shrinkToFit="1"/>
    </xf>
    <xf numFmtId="172" fontId="21" fillId="17" borderId="44" xfId="48" applyFont="1" applyFill="1" applyBorder="1" applyAlignment="1" applyProtection="1">
      <alignment horizontal="center" vertical="center" shrinkToFit="1"/>
    </xf>
    <xf numFmtId="0" fontId="0" fillId="4" borderId="44" xfId="0" applyFill="1" applyBorder="1"/>
    <xf numFmtId="0" fontId="30" fillId="0" borderId="0" xfId="0" applyFont="1"/>
    <xf numFmtId="0" fontId="30" fillId="0" borderId="32" xfId="0" applyFont="1" applyBorder="1" applyAlignment="1">
      <alignment horizontal="left" vertical="center"/>
    </xf>
    <xf numFmtId="0" fontId="30" fillId="0" borderId="0" xfId="0" applyFont="1" applyAlignment="1" applyProtection="1">
      <alignment horizontal="left" wrapText="1"/>
      <protection locked="0"/>
    </xf>
    <xf numFmtId="0" fontId="17" fillId="0" borderId="0" xfId="0" applyFont="1" applyAlignment="1">
      <alignment horizontal="left" wrapText="1"/>
    </xf>
    <xf numFmtId="168" fontId="0" fillId="0" borderId="29" xfId="0" applyNumberFormat="1" applyBorder="1" applyAlignment="1">
      <alignment horizontal="left"/>
    </xf>
    <xf numFmtId="0" fontId="17" fillId="0" borderId="29" xfId="33" applyFont="1" applyBorder="1" applyAlignment="1">
      <alignment vertical="center"/>
    </xf>
    <xf numFmtId="0" fontId="24" fillId="0" borderId="10" xfId="0" applyFont="1" applyBorder="1"/>
    <xf numFmtId="0" fontId="23" fillId="0" borderId="0" xfId="0" applyFont="1" applyAlignment="1">
      <alignment horizontal="left" vertical="center" indent="10"/>
    </xf>
    <xf numFmtId="0" fontId="23" fillId="0" borderId="0" xfId="0" applyFont="1" applyAlignment="1">
      <alignment horizontal="center" vertical="center"/>
    </xf>
    <xf numFmtId="0" fontId="37" fillId="0" borderId="0" xfId="0" applyFont="1" applyAlignment="1">
      <alignment horizontal="left" vertical="center" indent="10"/>
    </xf>
    <xf numFmtId="0" fontId="37" fillId="0" borderId="0" xfId="0" applyFont="1" applyAlignment="1">
      <alignment horizontal="center" vertical="center"/>
    </xf>
    <xf numFmtId="0" fontId="24" fillId="0" borderId="32" xfId="35" applyFont="1" applyBorder="1" applyAlignment="1">
      <alignment vertical="top"/>
    </xf>
    <xf numFmtId="0" fontId="24" fillId="0" borderId="0" xfId="35" applyFont="1" applyAlignment="1">
      <alignment vertical="top"/>
    </xf>
    <xf numFmtId="0" fontId="24" fillId="0" borderId="12" xfId="35" applyFont="1" applyBorder="1" applyAlignment="1">
      <alignment vertical="top"/>
    </xf>
    <xf numFmtId="0" fontId="0" fillId="0" borderId="45" xfId="33" applyFont="1" applyBorder="1" applyAlignment="1">
      <alignment vertical="top"/>
    </xf>
    <xf numFmtId="0" fontId="0" fillId="0" borderId="29" xfId="33" applyFont="1" applyBorder="1" applyAlignment="1">
      <alignment vertical="top" wrapText="1"/>
    </xf>
    <xf numFmtId="0" fontId="22" fillId="0" borderId="29" xfId="0" applyFont="1" applyBorder="1" applyAlignment="1">
      <alignment vertical="center" wrapText="1"/>
    </xf>
    <xf numFmtId="0" fontId="47" fillId="0" borderId="0" xfId="0" applyFont="1"/>
    <xf numFmtId="1" fontId="44" fillId="0" borderId="0" xfId="0" applyNumberFormat="1" applyFont="1" applyAlignment="1">
      <alignment horizontal="left" textRotation="90" wrapText="1"/>
    </xf>
    <xf numFmtId="0" fontId="0" fillId="6" borderId="46" xfId="0" applyFill="1" applyBorder="1" applyAlignment="1" applyProtection="1">
      <alignment horizontal="center" textRotation="90" wrapText="1"/>
      <protection locked="0"/>
    </xf>
    <xf numFmtId="0" fontId="0" fillId="6" borderId="47" xfId="0" applyFill="1" applyBorder="1" applyAlignment="1" applyProtection="1">
      <alignment horizontal="center" textRotation="90" wrapText="1"/>
      <protection locked="0"/>
    </xf>
    <xf numFmtId="0" fontId="0" fillId="0" borderId="36" xfId="0" applyBorder="1" applyAlignment="1">
      <alignment horizontal="center" textRotation="90" wrapText="1"/>
    </xf>
    <xf numFmtId="0" fontId="0" fillId="0" borderId="46" xfId="0" applyBorder="1" applyAlignment="1">
      <alignment horizontal="center" textRotation="90" wrapText="1"/>
    </xf>
    <xf numFmtId="0" fontId="0" fillId="0" borderId="47" xfId="0" applyBorder="1" applyAlignment="1">
      <alignment horizontal="center" textRotation="90" wrapText="1"/>
    </xf>
    <xf numFmtId="0" fontId="24" fillId="0" borderId="48" xfId="0" applyFont="1" applyBorder="1" applyAlignment="1">
      <alignment horizontal="center" vertical="center" wrapText="1"/>
    </xf>
    <xf numFmtId="0" fontId="24" fillId="0" borderId="49" xfId="0" applyFont="1" applyBorder="1" applyAlignment="1">
      <alignment horizontal="center" vertical="center" wrapText="1"/>
    </xf>
    <xf numFmtId="0" fontId="24" fillId="0" borderId="50" xfId="0" applyFont="1" applyBorder="1" applyAlignment="1">
      <alignment horizontal="center" vertical="center" wrapText="1"/>
    </xf>
    <xf numFmtId="0" fontId="24" fillId="0" borderId="46" xfId="0" applyFont="1" applyBorder="1" applyAlignment="1">
      <alignment horizontal="center" vertical="center" wrapText="1"/>
    </xf>
    <xf numFmtId="0" fontId="24" fillId="0" borderId="47" xfId="0" applyFont="1" applyBorder="1" applyAlignment="1">
      <alignment horizontal="center" vertical="center" wrapText="1"/>
    </xf>
    <xf numFmtId="0" fontId="0" fillId="0" borderId="39" xfId="0" applyBorder="1" applyAlignment="1">
      <alignment horizontal="left" vertical="center" wrapText="1"/>
    </xf>
    <xf numFmtId="0" fontId="0" fillId="0" borderId="39" xfId="0" applyBorder="1" applyAlignment="1">
      <alignment horizontal="center" vertical="center" wrapText="1"/>
    </xf>
    <xf numFmtId="0" fontId="47" fillId="0" borderId="0" xfId="0" applyFont="1" applyAlignment="1">
      <alignment horizontal="center"/>
    </xf>
    <xf numFmtId="0" fontId="21" fillId="0" borderId="35" xfId="48" applyNumberFormat="1" applyFont="1" applyFill="1" applyBorder="1" applyAlignment="1" applyProtection="1">
      <alignment horizontal="center" vertical="center" wrapText="1" shrinkToFit="1"/>
    </xf>
    <xf numFmtId="0" fontId="21" fillId="0" borderId="41" xfId="48" applyNumberFormat="1" applyFont="1" applyFill="1" applyBorder="1" applyAlignment="1" applyProtection="1">
      <alignment vertical="center" wrapText="1" shrinkToFit="1"/>
    </xf>
    <xf numFmtId="172" fontId="0" fillId="6" borderId="38" xfId="48" applyFont="1" applyFill="1" applyBorder="1" applyAlignment="1" applyProtection="1">
      <alignment vertical="center" shrinkToFit="1"/>
      <protection locked="0"/>
    </xf>
    <xf numFmtId="172" fontId="0" fillId="6" borderId="39" xfId="48" applyFont="1" applyFill="1" applyBorder="1" applyAlignment="1" applyProtection="1">
      <alignment vertical="center" shrinkToFit="1"/>
      <protection locked="0"/>
    </xf>
    <xf numFmtId="172" fontId="0" fillId="6" borderId="40" xfId="48" applyFont="1" applyFill="1" applyBorder="1" applyAlignment="1" applyProtection="1">
      <alignment vertical="center" shrinkToFit="1"/>
      <protection locked="0"/>
    </xf>
    <xf numFmtId="1" fontId="0" fillId="0" borderId="51" xfId="48" applyNumberFormat="1" applyFont="1" applyFill="1" applyBorder="1" applyAlignment="1" applyProtection="1">
      <alignment horizontal="center" vertical="center" shrinkToFit="1"/>
    </xf>
    <xf numFmtId="1" fontId="0" fillId="0" borderId="52" xfId="48" applyNumberFormat="1" applyFont="1" applyFill="1" applyBorder="1" applyAlignment="1" applyProtection="1">
      <alignment horizontal="center" vertical="center" shrinkToFit="1"/>
    </xf>
    <xf numFmtId="0" fontId="24" fillId="17" borderId="31" xfId="0" applyFont="1" applyFill="1" applyBorder="1" applyAlignment="1">
      <alignment horizontal="right" vertical="center"/>
    </xf>
    <xf numFmtId="4" fontId="24" fillId="17" borderId="53" xfId="0" applyNumberFormat="1" applyFont="1" applyFill="1" applyBorder="1" applyAlignment="1">
      <alignment horizontal="right" vertical="center" shrinkToFit="1"/>
    </xf>
    <xf numFmtId="4" fontId="24" fillId="17" borderId="54" xfId="0" applyNumberFormat="1" applyFont="1" applyFill="1" applyBorder="1" applyAlignment="1">
      <alignment horizontal="right" vertical="center" shrinkToFit="1"/>
    </xf>
    <xf numFmtId="4" fontId="24" fillId="17" borderId="55" xfId="0" applyNumberFormat="1" applyFont="1" applyFill="1" applyBorder="1" applyAlignment="1">
      <alignment horizontal="right" vertical="center" shrinkToFit="1"/>
    </xf>
    <xf numFmtId="4" fontId="24" fillId="17" borderId="36" xfId="0" applyNumberFormat="1" applyFont="1" applyFill="1" applyBorder="1" applyAlignment="1">
      <alignment horizontal="right" vertical="center" shrinkToFit="1"/>
    </xf>
    <xf numFmtId="0" fontId="24" fillId="17" borderId="36" xfId="0" applyFont="1" applyFill="1" applyBorder="1" applyAlignment="1">
      <alignment horizontal="right" vertical="center" shrinkToFit="1"/>
    </xf>
    <xf numFmtId="168" fontId="0" fillId="0" borderId="29" xfId="0" applyNumberFormat="1" applyBorder="1"/>
    <xf numFmtId="0" fontId="0" fillId="0" borderId="29" xfId="0" applyBorder="1"/>
    <xf numFmtId="0" fontId="0" fillId="0" borderId="0" xfId="33" applyFont="1" applyAlignment="1">
      <alignment vertical="center"/>
    </xf>
    <xf numFmtId="0" fontId="46" fillId="0" borderId="31" xfId="0" applyFont="1" applyBorder="1" applyAlignment="1">
      <alignment horizontal="center" vertical="center"/>
    </xf>
    <xf numFmtId="172" fontId="56" fillId="0" borderId="31" xfId="48" applyFill="1" applyBorder="1" applyAlignment="1" applyProtection="1"/>
    <xf numFmtId="0" fontId="0" fillId="18" borderId="44" xfId="0" applyFill="1" applyBorder="1"/>
    <xf numFmtId="0" fontId="46" fillId="0" borderId="0" xfId="34" applyFont="1" applyAlignment="1">
      <alignment horizontal="center"/>
    </xf>
    <xf numFmtId="0" fontId="46" fillId="0" borderId="0" xfId="34" applyFont="1"/>
    <xf numFmtId="166" fontId="0" fillId="0" borderId="0" xfId="49" applyFont="1" applyFill="1" applyBorder="1" applyAlignment="1" applyProtection="1">
      <alignment horizontal="center"/>
    </xf>
    <xf numFmtId="10" fontId="47" fillId="0" borderId="56" xfId="38" applyNumberFormat="1" applyFont="1" applyFill="1" applyBorder="1" applyAlignment="1" applyProtection="1">
      <alignment horizontal="center"/>
    </xf>
    <xf numFmtId="10" fontId="46" fillId="0" borderId="33" xfId="34" applyNumberFormat="1" applyFont="1" applyBorder="1" applyAlignment="1">
      <alignment horizontal="center"/>
    </xf>
    <xf numFmtId="173" fontId="46" fillId="0" borderId="57" xfId="34" applyNumberFormat="1" applyFont="1" applyBorder="1" applyAlignment="1">
      <alignment horizontal="left"/>
    </xf>
    <xf numFmtId="10" fontId="46" fillId="0" borderId="58" xfId="34" applyNumberFormat="1" applyFont="1" applyBorder="1" applyAlignment="1">
      <alignment horizontal="left"/>
    </xf>
    <xf numFmtId="1" fontId="46" fillId="0" borderId="58" xfId="34" applyNumberFormat="1" applyFont="1" applyBorder="1" applyAlignment="1">
      <alignment horizontal="center"/>
    </xf>
    <xf numFmtId="0" fontId="46" fillId="0" borderId="58" xfId="34" applyFont="1" applyBorder="1" applyAlignment="1">
      <alignment horizontal="center"/>
    </xf>
    <xf numFmtId="174" fontId="56" fillId="0" borderId="59" xfId="48" applyNumberFormat="1" applyFill="1" applyBorder="1" applyAlignment="1" applyProtection="1">
      <alignment horizontal="right" shrinkToFit="1"/>
    </xf>
    <xf numFmtId="174" fontId="0" fillId="0" borderId="33" xfId="48" applyNumberFormat="1" applyFont="1" applyFill="1" applyBorder="1" applyAlignment="1" applyProtection="1">
      <alignment horizontal="center" vertical="center"/>
    </xf>
    <xf numFmtId="0" fontId="46" fillId="0" borderId="30" xfId="34" applyFont="1" applyBorder="1" applyAlignment="1">
      <alignment horizontal="center"/>
    </xf>
    <xf numFmtId="0" fontId="46" fillId="0" borderId="60" xfId="34" applyFont="1" applyBorder="1"/>
    <xf numFmtId="0" fontId="32" fillId="0" borderId="60" xfId="34" applyFont="1" applyBorder="1"/>
    <xf numFmtId="0" fontId="46" fillId="0" borderId="60" xfId="34" applyFont="1" applyBorder="1" applyAlignment="1">
      <alignment horizontal="center"/>
    </xf>
    <xf numFmtId="166" fontId="0" fillId="0" borderId="60" xfId="49" applyFont="1" applyFill="1" applyBorder="1" applyAlignment="1" applyProtection="1">
      <alignment horizontal="right" shrinkToFit="1"/>
    </xf>
    <xf numFmtId="174" fontId="0" fillId="0" borderId="30" xfId="48" applyNumberFormat="1" applyFont="1" applyFill="1" applyBorder="1" applyAlignment="1" applyProtection="1">
      <alignment horizontal="center" vertical="center"/>
    </xf>
    <xf numFmtId="166" fontId="48" fillId="0" borderId="61" xfId="49" applyFont="1" applyFill="1" applyBorder="1" applyAlignment="1" applyProtection="1">
      <alignment horizontal="center"/>
    </xf>
    <xf numFmtId="0" fontId="46" fillId="0" borderId="13" xfId="34" applyFont="1" applyBorder="1" applyAlignment="1">
      <alignment horizontal="center"/>
    </xf>
    <xf numFmtId="166" fontId="48" fillId="0" borderId="0" xfId="49" applyFont="1" applyFill="1" applyBorder="1" applyAlignment="1" applyProtection="1">
      <alignment horizontal="center"/>
    </xf>
    <xf numFmtId="166" fontId="0" fillId="0" borderId="13" xfId="49" applyFont="1" applyFill="1" applyBorder="1" applyAlignment="1" applyProtection="1">
      <alignment horizontal="center"/>
    </xf>
    <xf numFmtId="166" fontId="23" fillId="0" borderId="0" xfId="49" applyFont="1" applyFill="1" applyBorder="1" applyAlignment="1" applyProtection="1">
      <alignment horizontal="left"/>
    </xf>
    <xf numFmtId="0" fontId="39" fillId="0" borderId="0" xfId="0" applyFont="1" applyAlignment="1">
      <alignment horizontal="center" textRotation="90"/>
    </xf>
    <xf numFmtId="0" fontId="49" fillId="0" borderId="32" xfId="34" applyFont="1" applyBorder="1"/>
    <xf numFmtId="0" fontId="46" fillId="0" borderId="12" xfId="34" applyFont="1" applyBorder="1"/>
    <xf numFmtId="0" fontId="24" fillId="0" borderId="32" xfId="49" applyNumberFormat="1" applyFont="1" applyFill="1" applyBorder="1" applyAlignment="1" applyProtection="1">
      <alignment horizontal="left"/>
    </xf>
    <xf numFmtId="166" fontId="24" fillId="0" borderId="32" xfId="49" applyFont="1" applyFill="1" applyBorder="1" applyAlignment="1" applyProtection="1">
      <alignment horizontal="left"/>
    </xf>
    <xf numFmtId="166" fontId="0" fillId="0" borderId="12" xfId="49" applyFont="1" applyFill="1" applyBorder="1" applyAlignment="1" applyProtection="1">
      <alignment horizontal="center"/>
    </xf>
    <xf numFmtId="0" fontId="49" fillId="0" borderId="30" xfId="34" applyFont="1" applyBorder="1" applyAlignment="1">
      <alignment horizontal="center"/>
    </xf>
    <xf numFmtId="0" fontId="46" fillId="0" borderId="45" xfId="34" applyFont="1" applyBorder="1"/>
    <xf numFmtId="0" fontId="46" fillId="16" borderId="31" xfId="34" applyFont="1" applyFill="1" applyBorder="1" applyAlignment="1" applyProtection="1">
      <alignment horizontal="center"/>
      <protection locked="0"/>
    </xf>
    <xf numFmtId="0" fontId="46" fillId="0" borderId="29" xfId="34" applyFont="1" applyBorder="1"/>
    <xf numFmtId="0" fontId="49" fillId="0" borderId="48" xfId="34" applyFont="1" applyBorder="1" applyAlignment="1">
      <alignment horizontal="center"/>
    </xf>
    <xf numFmtId="0" fontId="49" fillId="0" borderId="10" xfId="34" applyFont="1" applyBorder="1" applyAlignment="1">
      <alignment horizontal="left" vertical="center" wrapText="1"/>
    </xf>
    <xf numFmtId="0" fontId="46" fillId="0" borderId="10" xfId="34" applyFont="1" applyBorder="1" applyAlignment="1">
      <alignment horizontal="center" vertical="center"/>
    </xf>
    <xf numFmtId="0" fontId="49" fillId="0" borderId="49" xfId="34" applyFont="1" applyBorder="1" applyAlignment="1" applyProtection="1">
      <alignment horizontal="center"/>
      <protection locked="0"/>
    </xf>
    <xf numFmtId="0" fontId="46" fillId="0" borderId="0" xfId="34" applyFont="1" applyAlignment="1">
      <alignment horizontal="center" wrapText="1"/>
    </xf>
    <xf numFmtId="175" fontId="49" fillId="0" borderId="53" xfId="34" applyNumberFormat="1" applyFont="1" applyBorder="1" applyAlignment="1">
      <alignment horizontal="center"/>
    </xf>
    <xf numFmtId="0" fontId="49" fillId="0" borderId="29" xfId="34" applyFont="1" applyBorder="1" applyAlignment="1">
      <alignment horizontal="left" vertical="center" wrapText="1"/>
    </xf>
    <xf numFmtId="0" fontId="46" fillId="0" borderId="29" xfId="34" applyFont="1" applyBorder="1" applyAlignment="1">
      <alignment horizontal="center" vertical="center"/>
    </xf>
    <xf numFmtId="0" fontId="46" fillId="0" borderId="29" xfId="34" applyFont="1" applyBorder="1" applyAlignment="1">
      <alignment horizontal="center" vertical="center" wrapText="1"/>
    </xf>
    <xf numFmtId="175" fontId="49" fillId="0" borderId="54" xfId="34" applyNumberFormat="1" applyFont="1" applyBorder="1" applyAlignment="1" applyProtection="1">
      <alignment horizontal="center"/>
      <protection locked="0"/>
    </xf>
    <xf numFmtId="0" fontId="46" fillId="8" borderId="33" xfId="34" applyFont="1" applyFill="1" applyBorder="1"/>
    <xf numFmtId="166" fontId="24" fillId="0" borderId="0" xfId="49" applyFont="1" applyFill="1" applyBorder="1" applyAlignment="1" applyProtection="1">
      <alignment horizontal="center" shrinkToFit="1"/>
    </xf>
    <xf numFmtId="166" fontId="0" fillId="8" borderId="62" xfId="49" applyFont="1" applyFill="1" applyBorder="1" applyAlignment="1" applyProtection="1">
      <alignment horizontal="center"/>
    </xf>
    <xf numFmtId="166" fontId="0" fillId="8" borderId="63" xfId="49" applyFont="1" applyFill="1" applyBorder="1" applyAlignment="1" applyProtection="1">
      <alignment horizontal="right"/>
    </xf>
    <xf numFmtId="172" fontId="56" fillId="0" borderId="39" xfId="48" applyFill="1" applyBorder="1" applyAlignment="1" applyProtection="1">
      <alignment shrinkToFit="1"/>
    </xf>
    <xf numFmtId="0" fontId="46" fillId="8" borderId="30" xfId="34" applyFont="1" applyFill="1" applyBorder="1"/>
    <xf numFmtId="166" fontId="0" fillId="0" borderId="37" xfId="49" applyFont="1" applyFill="1" applyBorder="1" applyAlignment="1" applyProtection="1">
      <alignment horizontal="center"/>
    </xf>
    <xf numFmtId="166" fontId="0" fillId="0" borderId="65" xfId="49" applyFont="1" applyFill="1" applyBorder="1" applyAlignment="1" applyProtection="1">
      <alignment horizontal="right"/>
    </xf>
    <xf numFmtId="0" fontId="49" fillId="0" borderId="0" xfId="34" applyFont="1" applyAlignment="1">
      <alignment horizontal="left"/>
    </xf>
    <xf numFmtId="0" fontId="46" fillId="8" borderId="30" xfId="34" applyFont="1" applyFill="1" applyBorder="1" applyAlignment="1">
      <alignment horizontal="center"/>
    </xf>
    <xf numFmtId="166" fontId="0" fillId="8" borderId="37" xfId="49" applyFont="1" applyFill="1" applyBorder="1" applyAlignment="1" applyProtection="1">
      <alignment horizontal="center"/>
    </xf>
    <xf numFmtId="166" fontId="0" fillId="8" borderId="65" xfId="49" applyFont="1" applyFill="1" applyBorder="1" applyAlignment="1" applyProtection="1">
      <alignment horizontal="right"/>
    </xf>
    <xf numFmtId="172" fontId="56" fillId="0" borderId="42" xfId="48" applyFill="1" applyBorder="1" applyAlignment="1" applyProtection="1">
      <alignment shrinkToFit="1"/>
    </xf>
    <xf numFmtId="166" fontId="0" fillId="0" borderId="57" xfId="49" applyFont="1" applyFill="1" applyBorder="1" applyAlignment="1" applyProtection="1">
      <alignment horizontal="center"/>
    </xf>
    <xf numFmtId="166" fontId="0" fillId="0" borderId="59" xfId="49" applyFont="1" applyFill="1" applyBorder="1" applyAlignment="1" applyProtection="1">
      <alignment horizontal="right"/>
    </xf>
    <xf numFmtId="0" fontId="46" fillId="8" borderId="13" xfId="34" applyFont="1" applyFill="1" applyBorder="1"/>
    <xf numFmtId="166" fontId="24" fillId="8" borderId="68" xfId="49" applyFont="1" applyFill="1" applyBorder="1" applyAlignment="1" applyProtection="1">
      <alignment horizontal="center"/>
    </xf>
    <xf numFmtId="166" fontId="24" fillId="8" borderId="69" xfId="49" applyFont="1" applyFill="1" applyBorder="1" applyAlignment="1" applyProtection="1">
      <alignment horizontal="right"/>
    </xf>
    <xf numFmtId="0" fontId="46" fillId="0" borderId="29" xfId="34" applyFont="1" applyBorder="1" applyAlignment="1">
      <alignment horizontal="center"/>
    </xf>
    <xf numFmtId="166" fontId="0" fillId="0" borderId="29" xfId="49" applyFont="1" applyFill="1" applyBorder="1" applyAlignment="1" applyProtection="1">
      <alignment horizontal="center"/>
    </xf>
    <xf numFmtId="0" fontId="0" fillId="0" borderId="39" xfId="0" applyBorder="1" applyAlignment="1">
      <alignment horizontal="center"/>
    </xf>
    <xf numFmtId="1" fontId="0" fillId="6" borderId="39" xfId="0" applyNumberFormat="1" applyFill="1" applyBorder="1" applyAlignment="1" applyProtection="1">
      <alignment horizontal="center"/>
      <protection locked="0"/>
    </xf>
    <xf numFmtId="0" fontId="20" fillId="0" borderId="0" xfId="0" applyFont="1"/>
    <xf numFmtId="0" fontId="0" fillId="0" borderId="0" xfId="0" applyAlignment="1">
      <alignment textRotation="90"/>
    </xf>
    <xf numFmtId="4" fontId="0" fillId="0" borderId="0" xfId="0" applyNumberFormat="1"/>
    <xf numFmtId="176" fontId="51" fillId="8" borderId="1" xfId="0" applyNumberFormat="1" applyFont="1" applyFill="1" applyBorder="1" applyAlignment="1">
      <alignment horizontal="center" textRotation="90" wrapText="1"/>
    </xf>
    <xf numFmtId="0" fontId="24" fillId="8" borderId="1" xfId="0" applyFont="1" applyFill="1" applyBorder="1" applyAlignment="1">
      <alignment horizontal="center"/>
    </xf>
    <xf numFmtId="0" fontId="24" fillId="8" borderId="72" xfId="0" applyFont="1" applyFill="1" applyBorder="1"/>
    <xf numFmtId="0" fontId="24" fillId="8" borderId="73" xfId="0" applyFont="1" applyFill="1" applyBorder="1"/>
    <xf numFmtId="0" fontId="24" fillId="8" borderId="74" xfId="0" applyFont="1" applyFill="1" applyBorder="1"/>
    <xf numFmtId="0" fontId="0" fillId="18" borderId="39" xfId="0" applyFill="1" applyBorder="1" applyAlignment="1">
      <alignment horizontal="center"/>
    </xf>
    <xf numFmtId="0" fontId="0" fillId="18" borderId="39" xfId="0" applyFill="1" applyBorder="1"/>
    <xf numFmtId="0" fontId="0" fillId="8" borderId="75" xfId="0" applyFill="1" applyBorder="1"/>
    <xf numFmtId="0" fontId="0" fillId="8" borderId="76" xfId="0" applyFill="1" applyBorder="1"/>
    <xf numFmtId="0" fontId="0" fillId="8" borderId="77" xfId="0" applyFill="1" applyBorder="1"/>
    <xf numFmtId="0" fontId="46" fillId="19" borderId="31" xfId="34" applyFont="1" applyFill="1" applyBorder="1" applyAlignment="1">
      <alignment horizontal="center"/>
    </xf>
    <xf numFmtId="0" fontId="49" fillId="0" borderId="12" xfId="34" applyFont="1" applyBorder="1"/>
    <xf numFmtId="0" fontId="46" fillId="0" borderId="12" xfId="34" applyFont="1" applyBorder="1" applyAlignment="1">
      <alignment horizontal="center"/>
    </xf>
    <xf numFmtId="0" fontId="0" fillId="0" borderId="32" xfId="0" applyBorder="1"/>
    <xf numFmtId="0" fontId="52" fillId="0" borderId="0" xfId="0" applyFont="1"/>
    <xf numFmtId="0" fontId="24" fillId="0" borderId="0" xfId="0" applyFont="1" applyAlignment="1">
      <alignment horizontal="right"/>
    </xf>
    <xf numFmtId="0" fontId="23" fillId="0" borderId="32" xfId="0" applyFont="1" applyBorder="1"/>
    <xf numFmtId="0" fontId="24" fillId="8" borderId="31" xfId="0" applyFont="1" applyFill="1" applyBorder="1" applyAlignment="1">
      <alignment horizontal="center"/>
    </xf>
    <xf numFmtId="0" fontId="24" fillId="0" borderId="33" xfId="0" applyFont="1" applyBorder="1" applyAlignment="1">
      <alignment horizontal="center"/>
    </xf>
    <xf numFmtId="0" fontId="0" fillId="0" borderId="0" xfId="33" applyFont="1" applyAlignment="1">
      <alignment horizontal="left" vertical="top"/>
    </xf>
    <xf numFmtId="0" fontId="23" fillId="0" borderId="0" xfId="0" applyFont="1" applyAlignment="1">
      <alignment horizontal="left" vertical="center" indent="2"/>
    </xf>
    <xf numFmtId="10" fontId="0" fillId="0" borderId="31" xfId="0" applyNumberFormat="1" applyBorder="1" applyAlignment="1">
      <alignment horizontal="center" vertical="center" wrapText="1"/>
    </xf>
    <xf numFmtId="0" fontId="24" fillId="0" borderId="30" xfId="0" applyFont="1" applyBorder="1"/>
    <xf numFmtId="0" fontId="0" fillId="0" borderId="13" xfId="0" applyBorder="1"/>
    <xf numFmtId="4" fontId="0" fillId="0" borderId="13" xfId="33" applyNumberFormat="1" applyFont="1" applyBorder="1" applyAlignment="1">
      <alignment vertical="top" wrapText="1"/>
    </xf>
    <xf numFmtId="0" fontId="0" fillId="0" borderId="0" xfId="33" applyFont="1" applyAlignment="1">
      <alignment vertical="top" wrapText="1"/>
    </xf>
    <xf numFmtId="0" fontId="21" fillId="0" borderId="33" xfId="0" applyFont="1" applyBorder="1" applyAlignment="1">
      <alignment horizontal="center"/>
    </xf>
    <xf numFmtId="179" fontId="0" fillId="0" borderId="45" xfId="0" applyNumberFormat="1" applyBorder="1" applyAlignment="1">
      <alignment horizontal="center" vertical="center"/>
    </xf>
    <xf numFmtId="179" fontId="0" fillId="0" borderId="13" xfId="0" applyNumberFormat="1" applyBorder="1" applyAlignment="1">
      <alignment horizontal="center" vertical="center"/>
    </xf>
    <xf numFmtId="180" fontId="24" fillId="0" borderId="38" xfId="0" applyNumberFormat="1" applyFont="1" applyBorder="1" applyAlignment="1">
      <alignment horizontal="center" vertical="center"/>
    </xf>
    <xf numFmtId="0" fontId="0" fillId="0" borderId="39" xfId="0" applyBorder="1" applyAlignment="1">
      <alignment horizontal="center" vertical="center"/>
    </xf>
    <xf numFmtId="179" fontId="0" fillId="0" borderId="37" xfId="0" applyNumberFormat="1" applyBorder="1" applyAlignment="1">
      <alignment horizontal="center" vertical="center"/>
    </xf>
    <xf numFmtId="179" fontId="0" fillId="0" borderId="75" xfId="0" applyNumberFormat="1" applyBorder="1" applyAlignment="1">
      <alignment horizontal="center" vertical="center"/>
    </xf>
    <xf numFmtId="179" fontId="0" fillId="0" borderId="65" xfId="0" applyNumberFormat="1" applyBorder="1" applyAlignment="1">
      <alignment horizontal="center" vertical="center"/>
    </xf>
    <xf numFmtId="179" fontId="0" fillId="0" borderId="41" xfId="0" applyNumberFormat="1" applyBorder="1" applyAlignment="1">
      <alignment horizontal="center" vertical="center"/>
    </xf>
    <xf numFmtId="179" fontId="0" fillId="6" borderId="66" xfId="0" applyNumberFormat="1" applyFill="1" applyBorder="1" applyAlignment="1" applyProtection="1">
      <alignment horizontal="center" vertical="center"/>
      <protection locked="0"/>
    </xf>
    <xf numFmtId="179" fontId="0" fillId="6" borderId="43" xfId="0" applyNumberFormat="1" applyFill="1" applyBorder="1" applyAlignment="1" applyProtection="1">
      <alignment horizontal="center" vertical="center"/>
      <protection locked="0"/>
    </xf>
    <xf numFmtId="4" fontId="0" fillId="0" borderId="0" xfId="31" applyNumberFormat="1" applyFont="1" applyFill="1" applyBorder="1" applyAlignment="1" applyProtection="1">
      <alignment vertical="center" wrapText="1"/>
    </xf>
    <xf numFmtId="0" fontId="24" fillId="0" borderId="0" xfId="0" applyFont="1" applyAlignment="1">
      <alignment wrapText="1"/>
    </xf>
    <xf numFmtId="0" fontId="24" fillId="0" borderId="44" xfId="0" applyFont="1" applyBorder="1" applyAlignment="1">
      <alignment horizontal="center" vertical="center" wrapText="1"/>
    </xf>
    <xf numFmtId="0" fontId="24" fillId="0" borderId="33" xfId="0" applyFont="1" applyBorder="1" applyAlignment="1">
      <alignment horizontal="center" vertical="center" wrapText="1"/>
    </xf>
    <xf numFmtId="0" fontId="24" fillId="0" borderId="11" xfId="0" applyFont="1" applyBorder="1" applyAlignment="1">
      <alignment horizontal="center" vertical="center" wrapText="1"/>
    </xf>
    <xf numFmtId="0" fontId="0" fillId="8" borderId="78" xfId="0" applyFill="1" applyBorder="1"/>
    <xf numFmtId="0" fontId="0" fillId="8" borderId="10" xfId="0" applyFill="1" applyBorder="1"/>
    <xf numFmtId="179" fontId="17" fillId="8" borderId="78" xfId="0" applyNumberFormat="1" applyFont="1" applyFill="1" applyBorder="1" applyAlignment="1">
      <alignment horizontal="center" vertical="center"/>
    </xf>
    <xf numFmtId="179" fontId="17" fillId="8" borderId="10" xfId="0" applyNumberFormat="1" applyFont="1" applyFill="1" applyBorder="1" applyAlignment="1">
      <alignment horizontal="center" vertical="center"/>
    </xf>
    <xf numFmtId="179" fontId="17" fillId="8" borderId="11" xfId="0" applyNumberFormat="1" applyFont="1" applyFill="1" applyBorder="1" applyAlignment="1">
      <alignment horizontal="center" vertical="center"/>
    </xf>
    <xf numFmtId="179" fontId="17" fillId="8" borderId="33" xfId="0" applyNumberFormat="1" applyFont="1" applyFill="1" applyBorder="1" applyAlignment="1">
      <alignment horizontal="center" vertical="center"/>
    </xf>
    <xf numFmtId="0" fontId="0" fillId="18" borderId="33" xfId="0" applyFill="1" applyBorder="1"/>
    <xf numFmtId="0" fontId="0" fillId="18" borderId="33" xfId="0" applyFill="1" applyBorder="1" applyAlignment="1">
      <alignment horizontal="center"/>
    </xf>
    <xf numFmtId="0" fontId="0" fillId="18" borderId="78" xfId="0" applyFill="1" applyBorder="1"/>
    <xf numFmtId="0" fontId="0" fillId="18" borderId="10" xfId="0" applyFill="1" applyBorder="1" applyAlignment="1">
      <alignment horizontal="center"/>
    </xf>
    <xf numFmtId="0" fontId="0" fillId="18" borderId="10" xfId="0" applyFill="1" applyBorder="1"/>
    <xf numFmtId="0" fontId="0" fillId="18" borderId="11" xfId="0" applyFill="1" applyBorder="1"/>
    <xf numFmtId="0" fontId="0" fillId="8" borderId="45" xfId="0" applyFill="1" applyBorder="1"/>
    <xf numFmtId="0" fontId="0" fillId="8" borderId="29" xfId="0" applyFill="1" applyBorder="1"/>
    <xf numFmtId="182" fontId="8" fillId="8" borderId="45" xfId="0" applyNumberFormat="1" applyFont="1" applyFill="1" applyBorder="1" applyAlignment="1">
      <alignment horizontal="center"/>
    </xf>
    <xf numFmtId="182" fontId="8" fillId="8" borderId="29" xfId="0" applyNumberFormat="1" applyFont="1" applyFill="1" applyBorder="1" applyAlignment="1">
      <alignment horizontal="center"/>
    </xf>
    <xf numFmtId="182" fontId="8" fillId="8" borderId="28" xfId="0" applyNumberFormat="1" applyFont="1" applyFill="1" applyBorder="1" applyAlignment="1">
      <alignment horizontal="center"/>
    </xf>
    <xf numFmtId="182" fontId="8" fillId="8" borderId="13" xfId="0" applyNumberFormat="1" applyFont="1" applyFill="1" applyBorder="1" applyAlignment="1">
      <alignment horizontal="center"/>
    </xf>
    <xf numFmtId="0" fontId="0" fillId="18" borderId="13" xfId="0" applyFill="1" applyBorder="1"/>
    <xf numFmtId="0" fontId="0" fillId="18" borderId="13" xfId="0" applyFill="1" applyBorder="1" applyAlignment="1">
      <alignment horizontal="center"/>
    </xf>
    <xf numFmtId="0" fontId="0" fillId="18" borderId="45" xfId="0" applyFill="1" applyBorder="1"/>
    <xf numFmtId="0" fontId="0" fillId="18" borderId="29" xfId="0" applyFill="1" applyBorder="1" applyAlignment="1">
      <alignment horizontal="center"/>
    </xf>
    <xf numFmtId="0" fontId="0" fillId="18" borderId="29" xfId="0" applyFill="1" applyBorder="1"/>
    <xf numFmtId="0" fontId="0" fillId="18" borderId="28" xfId="0" applyFill="1" applyBorder="1"/>
    <xf numFmtId="0" fontId="23" fillId="0" borderId="0" xfId="0" applyFont="1" applyAlignment="1">
      <alignment horizontal="left" vertical="center" indent="12"/>
    </xf>
    <xf numFmtId="0" fontId="0" fillId="0" borderId="0" xfId="0" applyAlignment="1">
      <alignment horizontal="center" vertical="top"/>
    </xf>
    <xf numFmtId="0" fontId="0" fillId="0" borderId="78" xfId="0" applyBorder="1"/>
    <xf numFmtId="0" fontId="37" fillId="0" borderId="0" xfId="0" applyFont="1" applyAlignment="1">
      <alignment horizontal="left" vertical="center" indent="12"/>
    </xf>
    <xf numFmtId="0" fontId="0" fillId="0" borderId="45" xfId="33" applyFont="1" applyBorder="1" applyAlignment="1">
      <alignment vertical="top" wrapText="1"/>
    </xf>
    <xf numFmtId="183" fontId="0" fillId="0" borderId="28" xfId="33" applyNumberFormat="1" applyFont="1" applyBorder="1" applyAlignment="1">
      <alignment horizontal="left" vertical="top" wrapText="1"/>
    </xf>
    <xf numFmtId="0" fontId="0" fillId="0" borderId="33" xfId="0" applyBorder="1"/>
    <xf numFmtId="0" fontId="0" fillId="0" borderId="30" xfId="0" applyBorder="1"/>
    <xf numFmtId="49" fontId="0" fillId="0" borderId="13" xfId="33" applyNumberFormat="1" applyFont="1" applyBorder="1" applyAlignment="1">
      <alignment vertical="top" wrapText="1"/>
    </xf>
    <xf numFmtId="0" fontId="23" fillId="0" borderId="45" xfId="0" applyFont="1" applyBorder="1"/>
    <xf numFmtId="14" fontId="24" fillId="6" borderId="36" xfId="0" applyNumberFormat="1" applyFont="1" applyFill="1" applyBorder="1" applyAlignment="1" applyProtection="1">
      <alignment horizontal="center" vertical="center" wrapText="1"/>
      <protection locked="0"/>
    </xf>
    <xf numFmtId="14" fontId="24" fillId="6" borderId="46" xfId="0" applyNumberFormat="1" applyFont="1" applyFill="1" applyBorder="1" applyAlignment="1" applyProtection="1">
      <alignment horizontal="center" vertical="center" wrapText="1"/>
      <protection locked="0"/>
    </xf>
    <xf numFmtId="14" fontId="24" fillId="6" borderId="47" xfId="0" applyNumberFormat="1" applyFont="1" applyFill="1" applyBorder="1" applyAlignment="1" applyProtection="1">
      <alignment horizontal="center" vertical="center" wrapText="1"/>
      <protection locked="0"/>
    </xf>
    <xf numFmtId="0" fontId="24" fillId="0" borderId="33" xfId="0" applyFont="1" applyBorder="1" applyAlignment="1">
      <alignment horizontal="center" vertical="center"/>
    </xf>
    <xf numFmtId="184" fontId="24" fillId="8" borderId="33" xfId="0" applyNumberFormat="1" applyFont="1" applyFill="1" applyBorder="1" applyAlignment="1">
      <alignment horizontal="center" vertical="center" wrapText="1"/>
    </xf>
    <xf numFmtId="172" fontId="0" fillId="0" borderId="37" xfId="48" applyFont="1" applyFill="1" applyBorder="1" applyAlignment="1" applyProtection="1">
      <alignment vertical="center" shrinkToFit="1"/>
    </xf>
    <xf numFmtId="172" fontId="0" fillId="0" borderId="65" xfId="48" applyFont="1" applyFill="1" applyBorder="1" applyAlignment="1" applyProtection="1">
      <alignment vertical="center" shrinkToFit="1"/>
    </xf>
    <xf numFmtId="172" fontId="0" fillId="0" borderId="38" xfId="48" applyFont="1" applyFill="1" applyBorder="1" applyAlignment="1" applyProtection="1">
      <alignment horizontal="center" vertical="center" shrinkToFit="1"/>
    </xf>
    <xf numFmtId="172" fontId="0" fillId="0" borderId="39" xfId="48" applyFont="1" applyFill="1" applyBorder="1" applyAlignment="1" applyProtection="1">
      <alignment horizontal="center" vertical="center" shrinkToFit="1"/>
    </xf>
    <xf numFmtId="172" fontId="0" fillId="6" borderId="38" xfId="48" applyFont="1" applyFill="1" applyBorder="1" applyAlignment="1" applyProtection="1">
      <protection locked="0"/>
    </xf>
    <xf numFmtId="172" fontId="0" fillId="6" borderId="40" xfId="48" applyFont="1" applyFill="1" applyBorder="1" applyAlignment="1" applyProtection="1">
      <protection locked="0"/>
    </xf>
    <xf numFmtId="166" fontId="0" fillId="0" borderId="39" xfId="0" applyNumberFormat="1" applyBorder="1"/>
    <xf numFmtId="172" fontId="24" fillId="17" borderId="13" xfId="48" applyFont="1" applyFill="1" applyBorder="1" applyAlignment="1" applyProtection="1">
      <alignment horizontal="center" vertical="center"/>
    </xf>
    <xf numFmtId="172" fontId="24" fillId="17" borderId="13" xfId="48" applyFont="1" applyFill="1" applyBorder="1" applyAlignment="1" applyProtection="1">
      <alignment horizontal="center" vertical="center" shrinkToFit="1"/>
    </xf>
    <xf numFmtId="0" fontId="0" fillId="17" borderId="41" xfId="0" applyFill="1" applyBorder="1"/>
    <xf numFmtId="0" fontId="0" fillId="17" borderId="34" xfId="0" applyFill="1" applyBorder="1"/>
    <xf numFmtId="0" fontId="0" fillId="17" borderId="60" xfId="0" applyFill="1" applyBorder="1"/>
    <xf numFmtId="0" fontId="0" fillId="17" borderId="79" xfId="0" applyFill="1" applyBorder="1"/>
    <xf numFmtId="0" fontId="23" fillId="0" borderId="0" xfId="0" applyFont="1" applyAlignment="1">
      <alignment horizontal="left" vertical="center" indent="15"/>
    </xf>
    <xf numFmtId="0" fontId="0" fillId="0" borderId="44" xfId="0" applyBorder="1" applyAlignment="1">
      <alignment horizontal="center" wrapText="1"/>
    </xf>
    <xf numFmtId="0" fontId="24" fillId="0" borderId="31" xfId="0" applyFont="1" applyBorder="1" applyAlignment="1">
      <alignment horizontal="right" vertical="center" wrapText="1"/>
    </xf>
    <xf numFmtId="185" fontId="24" fillId="0" borderId="31" xfId="31" applyNumberFormat="1" applyFont="1" applyFill="1" applyBorder="1" applyAlignment="1" applyProtection="1">
      <alignment horizontal="right" vertical="center" shrinkToFit="1"/>
    </xf>
    <xf numFmtId="0" fontId="24" fillId="0" borderId="12" xfId="35" applyFont="1" applyBorder="1"/>
    <xf numFmtId="0" fontId="0" fillId="0" borderId="28" xfId="0" applyBorder="1" applyAlignment="1">
      <alignment shrinkToFit="1"/>
    </xf>
    <xf numFmtId="0" fontId="0" fillId="0" borderId="30" xfId="33" applyFont="1" applyBorder="1" applyAlignment="1">
      <alignment vertical="top" wrapText="1"/>
    </xf>
    <xf numFmtId="4" fontId="0" fillId="0" borderId="13" xfId="33" applyNumberFormat="1" applyFont="1" applyBorder="1" applyAlignment="1">
      <alignment horizontal="left" vertical="top" wrapText="1"/>
    </xf>
    <xf numFmtId="4" fontId="0" fillId="0" borderId="45" xfId="33" applyNumberFormat="1" applyFont="1" applyBorder="1" applyAlignment="1">
      <alignment horizontal="left" vertical="top" wrapText="1"/>
    </xf>
    <xf numFmtId="0" fontId="22" fillId="0" borderId="0" xfId="0" applyFont="1" applyAlignment="1">
      <alignment wrapText="1"/>
    </xf>
    <xf numFmtId="0" fontId="21" fillId="0" borderId="11" xfId="0" applyFont="1" applyBorder="1" applyAlignment="1">
      <alignment horizontal="center"/>
    </xf>
    <xf numFmtId="0" fontId="53" fillId="0" borderId="0" xfId="0" applyFont="1" applyAlignment="1">
      <alignment horizontal="center" vertical="center" wrapText="1"/>
    </xf>
    <xf numFmtId="171" fontId="24" fillId="0" borderId="45" xfId="0" applyNumberFormat="1" applyFont="1" applyBorder="1" applyAlignment="1">
      <alignment horizontal="center"/>
    </xf>
    <xf numFmtId="10" fontId="24" fillId="0" borderId="28" xfId="0" applyNumberFormat="1" applyFont="1" applyBorder="1" applyAlignment="1">
      <alignment horizontal="center" shrinkToFit="1"/>
    </xf>
    <xf numFmtId="179" fontId="0" fillId="0" borderId="29" xfId="0" applyNumberFormat="1" applyBorder="1" applyAlignment="1">
      <alignment horizontal="center" vertical="center"/>
    </xf>
    <xf numFmtId="0" fontId="0" fillId="0" borderId="10" xfId="0" applyBorder="1" applyAlignment="1">
      <alignment wrapText="1"/>
    </xf>
    <xf numFmtId="0" fontId="0" fillId="0" borderId="39" xfId="0" applyBorder="1" applyAlignment="1">
      <alignment horizontal="left" vertical="top"/>
    </xf>
    <xf numFmtId="49" fontId="0" fillId="0" borderId="39" xfId="0" applyNumberFormat="1" applyBorder="1" applyAlignment="1">
      <alignment horizontal="center" vertical="center" wrapText="1"/>
    </xf>
    <xf numFmtId="0" fontId="0" fillId="0" borderId="40" xfId="0" applyBorder="1" applyAlignment="1">
      <alignment horizontal="center" vertical="center"/>
    </xf>
    <xf numFmtId="0" fontId="0" fillId="0" borderId="75" xfId="0" applyBorder="1" applyAlignment="1">
      <alignment horizontal="center" vertical="center"/>
    </xf>
    <xf numFmtId="179" fontId="0" fillId="0" borderId="0" xfId="0" applyNumberFormat="1" applyAlignment="1">
      <alignment horizontal="center" vertical="center"/>
    </xf>
    <xf numFmtId="10" fontId="0" fillId="0" borderId="65" xfId="0" applyNumberFormat="1" applyBorder="1" applyAlignment="1">
      <alignment horizontal="center" vertical="center"/>
    </xf>
    <xf numFmtId="0" fontId="0" fillId="0" borderId="32" xfId="0" applyBorder="1" applyAlignment="1">
      <alignment horizontal="center" vertical="center" wrapText="1"/>
    </xf>
    <xf numFmtId="182" fontId="8" fillId="8" borderId="80" xfId="0" applyNumberFormat="1" applyFont="1" applyFill="1" applyBorder="1" applyAlignment="1">
      <alignment horizontal="center"/>
    </xf>
    <xf numFmtId="182" fontId="8" fillId="8" borderId="81" xfId="0" applyNumberFormat="1" applyFont="1" applyFill="1" applyBorder="1" applyAlignment="1">
      <alignment horizontal="center"/>
    </xf>
    <xf numFmtId="182" fontId="8" fillId="8" borderId="62" xfId="0" applyNumberFormat="1" applyFont="1" applyFill="1" applyBorder="1" applyAlignment="1">
      <alignment horizontal="center"/>
    </xf>
    <xf numFmtId="182" fontId="8" fillId="8" borderId="63" xfId="0" applyNumberFormat="1" applyFont="1" applyFill="1" applyBorder="1" applyAlignment="1">
      <alignment horizontal="center"/>
    </xf>
    <xf numFmtId="0" fontId="0" fillId="18" borderId="32" xfId="0" applyFill="1" applyBorder="1"/>
    <xf numFmtId="0" fontId="0" fillId="18" borderId="0" xfId="0" applyFill="1" applyAlignment="1">
      <alignment horizontal="center"/>
    </xf>
    <xf numFmtId="0" fontId="0" fillId="18" borderId="12" xfId="0" applyFill="1" applyBorder="1" applyAlignment="1">
      <alignment horizontal="center"/>
    </xf>
    <xf numFmtId="0" fontId="21" fillId="0" borderId="0" xfId="0" applyFont="1"/>
    <xf numFmtId="179" fontId="0" fillId="8" borderId="41" xfId="0" applyNumberFormat="1" applyFill="1" applyBorder="1" applyAlignment="1">
      <alignment horizontal="center" vertical="center"/>
    </xf>
    <xf numFmtId="179" fontId="0" fillId="8" borderId="37" xfId="0" applyNumberFormat="1" applyFill="1" applyBorder="1" applyAlignment="1">
      <alignment horizontal="center" vertical="center"/>
    </xf>
    <xf numFmtId="179" fontId="0" fillId="8" borderId="75" xfId="0" applyNumberFormat="1" applyFill="1" applyBorder="1" applyAlignment="1">
      <alignment horizontal="center" vertical="center"/>
    </xf>
    <xf numFmtId="179" fontId="0" fillId="8" borderId="65" xfId="0" applyNumberFormat="1" applyFill="1" applyBorder="1" applyAlignment="1">
      <alignment horizontal="center" vertical="center"/>
    </xf>
    <xf numFmtId="0" fontId="0" fillId="18" borderId="80" xfId="0" applyFill="1" applyBorder="1" applyAlignment="1">
      <alignment horizontal="right"/>
    </xf>
    <xf numFmtId="179" fontId="55" fillId="0" borderId="39" xfId="0" applyNumberFormat="1" applyFont="1" applyBorder="1"/>
    <xf numFmtId="179" fontId="0" fillId="0" borderId="82" xfId="0" applyNumberFormat="1" applyBorder="1" applyAlignment="1">
      <alignment horizontal="center" vertical="center"/>
    </xf>
    <xf numFmtId="179" fontId="0" fillId="0" borderId="57" xfId="0" applyNumberFormat="1" applyBorder="1" applyAlignment="1">
      <alignment horizontal="center" vertical="center"/>
    </xf>
    <xf numFmtId="179" fontId="0" fillId="0" borderId="58" xfId="0" applyNumberFormat="1" applyBorder="1" applyAlignment="1">
      <alignment horizontal="center" vertical="center"/>
    </xf>
    <xf numFmtId="179" fontId="0" fillId="0" borderId="59" xfId="0" applyNumberFormat="1" applyBorder="1" applyAlignment="1">
      <alignment horizontal="center" vertical="center"/>
    </xf>
    <xf numFmtId="0" fontId="0" fillId="18" borderId="83" xfId="0" applyFill="1" applyBorder="1" applyAlignment="1">
      <alignment horizontal="right"/>
    </xf>
    <xf numFmtId="179" fontId="17" fillId="8" borderId="31" xfId="0" applyNumberFormat="1" applyFont="1" applyFill="1" applyBorder="1" applyAlignment="1">
      <alignment horizontal="center" vertical="center"/>
    </xf>
    <xf numFmtId="179" fontId="17" fillId="8" borderId="44" xfId="0" applyNumberFormat="1" applyFont="1" applyFill="1" applyBorder="1" applyAlignment="1">
      <alignment horizontal="center" vertical="center"/>
    </xf>
    <xf numFmtId="179" fontId="0" fillId="0" borderId="0" xfId="0" applyNumberFormat="1"/>
    <xf numFmtId="0" fontId="17" fillId="0" borderId="0" xfId="33" applyFont="1" applyAlignment="1">
      <alignment vertical="center"/>
    </xf>
    <xf numFmtId="0" fontId="0" fillId="0" borderId="0" xfId="33" applyFont="1" applyAlignment="1">
      <alignment horizontal="left" vertical="center"/>
    </xf>
    <xf numFmtId="0" fontId="0" fillId="0" borderId="10" xfId="0" applyBorder="1" applyAlignment="1">
      <alignment horizontal="right"/>
    </xf>
    <xf numFmtId="169" fontId="0" fillId="0" borderId="0" xfId="33" applyNumberFormat="1" applyFont="1" applyAlignment="1">
      <alignment horizontal="left"/>
    </xf>
    <xf numFmtId="172" fontId="56" fillId="0" borderId="0" xfId="48" applyFill="1" applyBorder="1" applyAlignment="1" applyProtection="1"/>
    <xf numFmtId="0" fontId="0" fillId="0" borderId="0" xfId="33" applyFont="1" applyAlignment="1">
      <alignment horizontal="left"/>
    </xf>
    <xf numFmtId="0" fontId="0" fillId="6" borderId="0" xfId="33" applyFont="1" applyFill="1" applyAlignment="1" applyProtection="1">
      <alignment vertical="top"/>
      <protection locked="0"/>
    </xf>
    <xf numFmtId="0" fontId="24" fillId="0" borderId="0" xfId="33" applyFont="1" applyAlignment="1">
      <alignment vertical="top"/>
    </xf>
    <xf numFmtId="181" fontId="24" fillId="0" borderId="39" xfId="48" applyNumberFormat="1" applyFont="1" applyFill="1" applyBorder="1" applyAlignment="1" applyProtection="1">
      <alignment vertical="top" shrinkToFit="1"/>
    </xf>
    <xf numFmtId="181" fontId="24" fillId="0" borderId="67" xfId="48" applyNumberFormat="1" applyFont="1" applyFill="1" applyBorder="1" applyAlignment="1" applyProtection="1">
      <alignment horizontal="right" vertical="top" shrinkToFit="1"/>
    </xf>
    <xf numFmtId="10" fontId="24" fillId="0" borderId="67" xfId="37" applyNumberFormat="1" applyFont="1" applyFill="1" applyBorder="1" applyAlignment="1" applyProtection="1">
      <alignment horizontal="right" vertical="top" shrinkToFit="1"/>
    </xf>
    <xf numFmtId="0" fontId="0" fillId="6" borderId="0" xfId="33" applyFont="1" applyFill="1" applyAlignment="1" applyProtection="1">
      <alignment vertical="top" wrapText="1"/>
      <protection locked="0"/>
    </xf>
    <xf numFmtId="0" fontId="0" fillId="0" borderId="29" xfId="33" applyFont="1" applyBorder="1"/>
    <xf numFmtId="0" fontId="0" fillId="20" borderId="0" xfId="0" applyFill="1"/>
    <xf numFmtId="0" fontId="0" fillId="20" borderId="0" xfId="0" applyFill="1" applyAlignment="1">
      <alignment horizontal="center" vertical="center"/>
    </xf>
    <xf numFmtId="0" fontId="18" fillId="20" borderId="0" xfId="0" applyFont="1" applyFill="1" applyAlignment="1">
      <alignment vertical="center"/>
    </xf>
    <xf numFmtId="0" fontId="19" fillId="20" borderId="0" xfId="0" applyFont="1" applyFill="1" applyAlignment="1">
      <alignment horizontal="center" vertical="top"/>
    </xf>
    <xf numFmtId="0" fontId="19" fillId="20" borderId="0" xfId="0" applyFont="1" applyFill="1" applyAlignment="1">
      <alignment vertical="top"/>
    </xf>
    <xf numFmtId="0" fontId="0" fillId="3" borderId="0" xfId="0" applyFill="1" applyAlignment="1">
      <alignment vertical="center"/>
    </xf>
    <xf numFmtId="0" fontId="0" fillId="0" borderId="85" xfId="0" applyBorder="1"/>
    <xf numFmtId="0" fontId="0" fillId="0" borderId="86" xfId="0" applyBorder="1"/>
    <xf numFmtId="0" fontId="0" fillId="0" borderId="87" xfId="0" applyBorder="1"/>
    <xf numFmtId="0" fontId="24" fillId="0" borderId="0" xfId="0" applyFont="1" applyAlignment="1">
      <alignment vertical="center"/>
    </xf>
    <xf numFmtId="0" fontId="0" fillId="0" borderId="88" xfId="0" applyBorder="1"/>
    <xf numFmtId="0" fontId="0" fillId="0" borderId="88" xfId="0" applyBorder="1" applyAlignment="1">
      <alignment vertical="center"/>
    </xf>
    <xf numFmtId="0" fontId="0" fillId="0" borderId="89" xfId="0" applyBorder="1"/>
    <xf numFmtId="0" fontId="0" fillId="0" borderId="90" xfId="0" applyBorder="1"/>
    <xf numFmtId="0" fontId="0" fillId="0" borderId="91" xfId="0" applyBorder="1"/>
    <xf numFmtId="0" fontId="0" fillId="21" borderId="44" xfId="0" applyFill="1" applyBorder="1"/>
    <xf numFmtId="0" fontId="0" fillId="21" borderId="31" xfId="0" applyFill="1" applyBorder="1"/>
    <xf numFmtId="0" fontId="0" fillId="21" borderId="31" xfId="0" applyFill="1" applyBorder="1" applyAlignment="1">
      <alignment horizontal="center"/>
    </xf>
    <xf numFmtId="0" fontId="24" fillId="6" borderId="13" xfId="0" applyFont="1" applyFill="1" applyBorder="1" applyAlignment="1" applyProtection="1">
      <alignment horizontal="center" vertical="center" wrapText="1"/>
      <protection locked="0"/>
    </xf>
    <xf numFmtId="0" fontId="24" fillId="6" borderId="28" xfId="0" applyFont="1" applyFill="1" applyBorder="1" applyAlignment="1" applyProtection="1">
      <alignment horizontal="center" vertical="center" wrapText="1"/>
      <protection locked="0"/>
    </xf>
    <xf numFmtId="0" fontId="0" fillId="22" borderId="44" xfId="0" applyFill="1" applyBorder="1"/>
    <xf numFmtId="0" fontId="0" fillId="23" borderId="31" xfId="0" applyFill="1" applyBorder="1"/>
    <xf numFmtId="172" fontId="21" fillId="17" borderId="31" xfId="48" applyFont="1" applyFill="1" applyBorder="1" applyAlignment="1" applyProtection="1">
      <alignment horizontal="center" vertical="center" shrinkToFit="1"/>
    </xf>
    <xf numFmtId="0" fontId="42" fillId="0" borderId="50" xfId="0" applyFont="1" applyBorder="1" applyAlignment="1">
      <alignment horizontal="center" vertical="center" wrapText="1"/>
    </xf>
    <xf numFmtId="172" fontId="0" fillId="0" borderId="38" xfId="48" applyFont="1" applyFill="1" applyBorder="1" applyAlignment="1" applyProtection="1">
      <alignment vertical="center" shrinkToFit="1"/>
    </xf>
    <xf numFmtId="10" fontId="0" fillId="0" borderId="40" xfId="48" applyNumberFormat="1" applyFont="1" applyFill="1" applyBorder="1" applyAlignment="1" applyProtection="1">
      <alignment vertical="center" shrinkToFit="1"/>
    </xf>
    <xf numFmtId="10" fontId="24" fillId="17" borderId="13" xfId="48" applyNumberFormat="1" applyFont="1" applyFill="1" applyBorder="1" applyAlignment="1" applyProtection="1">
      <alignment horizontal="center" vertical="center"/>
    </xf>
    <xf numFmtId="172" fontId="0" fillId="6" borderId="41" xfId="48" applyFont="1" applyFill="1" applyBorder="1" applyAlignment="1" applyProtection="1">
      <alignment vertical="center" wrapText="1"/>
      <protection locked="0"/>
    </xf>
    <xf numFmtId="0" fontId="46" fillId="22" borderId="31" xfId="34" applyFont="1" applyFill="1" applyBorder="1" applyAlignment="1">
      <alignment horizontal="center"/>
    </xf>
    <xf numFmtId="0" fontId="46" fillId="21" borderId="44" xfId="34" applyFont="1" applyFill="1" applyBorder="1" applyAlignment="1">
      <alignment horizontal="center"/>
    </xf>
    <xf numFmtId="0" fontId="0" fillId="21" borderId="36" xfId="0" applyFill="1" applyBorder="1"/>
    <xf numFmtId="0" fontId="0" fillId="21" borderId="46" xfId="0" applyFill="1" applyBorder="1"/>
    <xf numFmtId="0" fontId="0" fillId="21" borderId="47" xfId="0" applyFill="1" applyBorder="1"/>
    <xf numFmtId="172" fontId="0" fillId="6" borderId="39" xfId="48" applyFont="1" applyFill="1" applyBorder="1" applyAlignment="1" applyProtection="1">
      <protection locked="0"/>
    </xf>
    <xf numFmtId="1" fontId="0" fillId="6" borderId="0" xfId="0" applyNumberFormat="1" applyFill="1" applyAlignment="1" applyProtection="1">
      <alignment horizontal="center"/>
      <protection locked="0"/>
    </xf>
    <xf numFmtId="172" fontId="0" fillId="6" borderId="38" xfId="48" applyFont="1" applyFill="1" applyBorder="1" applyAlignment="1" applyProtection="1">
      <alignment vertical="center" wrapText="1"/>
      <protection locked="0"/>
    </xf>
    <xf numFmtId="10" fontId="24" fillId="17" borderId="70" xfId="48" applyNumberFormat="1" applyFont="1" applyFill="1" applyBorder="1" applyAlignment="1" applyProtection="1">
      <alignment horizontal="center" vertical="center"/>
    </xf>
    <xf numFmtId="172" fontId="24" fillId="17" borderId="70" xfId="48" applyFont="1" applyFill="1" applyBorder="1" applyAlignment="1" applyProtection="1">
      <alignment horizontal="center" vertical="center"/>
    </xf>
    <xf numFmtId="10" fontId="24" fillId="17" borderId="71" xfId="48" applyNumberFormat="1" applyFont="1" applyFill="1" applyBorder="1" applyAlignment="1" applyProtection="1">
      <alignment horizontal="center" vertical="center"/>
    </xf>
    <xf numFmtId="0" fontId="30" fillId="0" borderId="0" xfId="0" applyFont="1" applyAlignment="1">
      <alignment horizontal="left" wrapText="1"/>
    </xf>
    <xf numFmtId="4" fontId="0" fillId="6" borderId="51" xfId="0" applyNumberFormat="1" applyFill="1" applyBorder="1" applyProtection="1">
      <protection locked="0"/>
    </xf>
    <xf numFmtId="4" fontId="0" fillId="6" borderId="64" xfId="0" applyNumberFormat="1" applyFill="1" applyBorder="1" applyProtection="1">
      <protection locked="0"/>
    </xf>
    <xf numFmtId="4" fontId="0" fillId="6" borderId="70" xfId="0" applyNumberFormat="1" applyFill="1" applyBorder="1" applyProtection="1">
      <protection locked="0"/>
    </xf>
    <xf numFmtId="4" fontId="0" fillId="6" borderId="71" xfId="0" applyNumberFormat="1" applyFill="1" applyBorder="1" applyProtection="1">
      <protection locked="0"/>
    </xf>
    <xf numFmtId="0" fontId="0" fillId="0" borderId="92" xfId="0" applyBorder="1" applyAlignment="1">
      <alignment horizontal="center"/>
    </xf>
    <xf numFmtId="0" fontId="0" fillId="0" borderId="93" xfId="0" applyBorder="1" applyAlignment="1">
      <alignment horizontal="center"/>
    </xf>
    <xf numFmtId="0" fontId="0" fillId="0" borderId="94" xfId="0" applyBorder="1" applyAlignment="1">
      <alignment horizontal="center"/>
    </xf>
    <xf numFmtId="0" fontId="24" fillId="0" borderId="60" xfId="0" applyFont="1" applyBorder="1"/>
    <xf numFmtId="0" fontId="0" fillId="6" borderId="36" xfId="0" applyFill="1" applyBorder="1" applyAlignment="1" applyProtection="1">
      <alignment horizontal="center" textRotation="90" wrapText="1"/>
      <protection locked="0"/>
    </xf>
    <xf numFmtId="172" fontId="0" fillId="0" borderId="36" xfId="48" applyFont="1" applyFill="1" applyBorder="1" applyAlignment="1" applyProtection="1">
      <alignment vertical="center" shrinkToFit="1"/>
    </xf>
    <xf numFmtId="186" fontId="0" fillId="0" borderId="39" xfId="48" applyNumberFormat="1" applyFont="1" applyFill="1" applyBorder="1" applyAlignment="1" applyProtection="1">
      <alignment vertical="center" shrinkToFit="1"/>
    </xf>
    <xf numFmtId="49" fontId="24" fillId="17" borderId="29" xfId="0" applyNumberFormat="1" applyFont="1" applyFill="1" applyBorder="1" applyAlignment="1">
      <alignment horizontal="center" vertical="center"/>
    </xf>
    <xf numFmtId="172" fontId="24" fillId="17" borderId="29" xfId="48" applyFont="1" applyFill="1" applyBorder="1" applyAlignment="1" applyProtection="1">
      <alignment horizontal="center" vertical="center"/>
    </xf>
    <xf numFmtId="172" fontId="24" fillId="17" borderId="28" xfId="48" applyFont="1" applyFill="1" applyBorder="1" applyAlignment="1" applyProtection="1">
      <alignment horizontal="center" vertical="center" shrinkToFit="1"/>
    </xf>
    <xf numFmtId="1" fontId="59" fillId="0" borderId="0" xfId="0" applyNumberFormat="1" applyFont="1" applyAlignment="1">
      <alignment horizontal="center" vertical="center"/>
    </xf>
    <xf numFmtId="187" fontId="0" fillId="0" borderId="29" xfId="0" applyNumberFormat="1" applyBorder="1" applyAlignment="1">
      <alignment horizontal="left"/>
    </xf>
    <xf numFmtId="0" fontId="17" fillId="0" borderId="90" xfId="33" applyFont="1" applyBorder="1" applyAlignment="1">
      <alignment vertical="center"/>
    </xf>
    <xf numFmtId="0" fontId="0" fillId="0" borderId="90" xfId="0" applyBorder="1" applyAlignment="1">
      <alignment horizontal="center"/>
    </xf>
    <xf numFmtId="0" fontId="46" fillId="0" borderId="90" xfId="34" applyFont="1" applyBorder="1" applyAlignment="1">
      <alignment horizontal="center"/>
    </xf>
    <xf numFmtId="0" fontId="0" fillId="0" borderId="40" xfId="0" applyBorder="1" applyAlignment="1">
      <alignment horizontal="center" vertical="center" wrapText="1"/>
    </xf>
    <xf numFmtId="166" fontId="0" fillId="6" borderId="39" xfId="0" applyNumberFormat="1" applyFill="1" applyBorder="1" applyAlignment="1" applyProtection="1">
      <alignment horizontal="center" vertical="center"/>
      <protection locked="0"/>
    </xf>
    <xf numFmtId="0" fontId="0" fillId="6" borderId="82" xfId="0" applyFill="1" applyBorder="1" applyAlignment="1" applyProtection="1">
      <alignment horizontal="left" vertical="center" wrapText="1"/>
      <protection locked="0"/>
    </xf>
    <xf numFmtId="49" fontId="0" fillId="6" borderId="66" xfId="0" applyNumberFormat="1" applyFill="1" applyBorder="1" applyAlignment="1" applyProtection="1">
      <alignment horizontal="center" vertical="center" wrapText="1"/>
      <protection locked="0"/>
    </xf>
    <xf numFmtId="49" fontId="0" fillId="16" borderId="95" xfId="0" applyNumberFormat="1" applyFill="1" applyBorder="1" applyAlignment="1" applyProtection="1">
      <alignment horizontal="center" vertical="center"/>
      <protection locked="0"/>
    </xf>
    <xf numFmtId="49" fontId="0" fillId="6" borderId="40" xfId="48" applyNumberFormat="1" applyFont="1" applyFill="1" applyBorder="1" applyAlignment="1" applyProtection="1">
      <alignment horizontal="left" vertical="center" wrapText="1" shrinkToFit="1"/>
      <protection locked="0"/>
    </xf>
    <xf numFmtId="49" fontId="24" fillId="17" borderId="31" xfId="0" applyNumberFormat="1" applyFont="1" applyFill="1" applyBorder="1" applyAlignment="1">
      <alignment horizontal="left" vertical="center"/>
    </xf>
    <xf numFmtId="172" fontId="0" fillId="0" borderId="40" xfId="48" applyFont="1" applyFill="1" applyBorder="1" applyAlignment="1" applyProtection="1">
      <alignment vertical="center" shrinkToFit="1"/>
    </xf>
    <xf numFmtId="172" fontId="24" fillId="17" borderId="67" xfId="48" applyFont="1" applyFill="1" applyBorder="1" applyAlignment="1" applyProtection="1">
      <alignment horizontal="center" vertical="center" shrinkToFit="1"/>
    </xf>
    <xf numFmtId="172" fontId="24" fillId="17" borderId="71" xfId="48" applyFont="1" applyFill="1" applyBorder="1" applyAlignment="1" applyProtection="1">
      <alignment horizontal="center" vertical="center"/>
    </xf>
    <xf numFmtId="0" fontId="0" fillId="16" borderId="40" xfId="0" applyFill="1" applyBorder="1" applyAlignment="1" applyProtection="1">
      <alignment shrinkToFit="1"/>
      <protection locked="0"/>
    </xf>
    <xf numFmtId="0" fontId="0" fillId="0" borderId="96" xfId="0" applyBorder="1" applyAlignment="1">
      <alignment vertical="center"/>
    </xf>
    <xf numFmtId="0" fontId="0" fillId="16" borderId="97" xfId="0" applyFill="1" applyBorder="1" applyAlignment="1" applyProtection="1">
      <alignment vertical="center"/>
      <protection locked="0"/>
    </xf>
    <xf numFmtId="164" fontId="0" fillId="0" borderId="0" xfId="0" applyNumberFormat="1"/>
    <xf numFmtId="0" fontId="12" fillId="0" borderId="90" xfId="0" applyFont="1" applyBorder="1" applyAlignment="1">
      <alignment horizontal="left" indent="1"/>
    </xf>
    <xf numFmtId="0" fontId="57" fillId="25" borderId="84" xfId="30" applyFont="1" applyFill="1" applyBorder="1" applyAlignment="1">
      <alignment horizontal="center" vertical="center"/>
    </xf>
    <xf numFmtId="0" fontId="17" fillId="25" borderId="84" xfId="30" applyFont="1" applyFill="1" applyBorder="1" applyAlignment="1">
      <alignment horizontal="center" vertical="center"/>
    </xf>
    <xf numFmtId="0" fontId="23" fillId="25" borderId="84" xfId="30" applyFont="1" applyFill="1" applyBorder="1" applyAlignment="1">
      <alignment horizontal="center" vertical="center"/>
    </xf>
    <xf numFmtId="0" fontId="0" fillId="26" borderId="0" xfId="0" applyFill="1"/>
    <xf numFmtId="0" fontId="24" fillId="25" borderId="84" xfId="30" applyFont="1" applyFill="1" applyBorder="1" applyAlignment="1">
      <alignment horizontal="center" vertical="center"/>
    </xf>
    <xf numFmtId="0" fontId="51" fillId="0" borderId="0" xfId="0" applyFont="1" applyAlignment="1">
      <alignment horizontal="center" wrapText="1"/>
    </xf>
    <xf numFmtId="0" fontId="49" fillId="0" borderId="0" xfId="34" applyFont="1"/>
    <xf numFmtId="0" fontId="51" fillId="0" borderId="88" xfId="0" applyFont="1" applyBorder="1" applyAlignment="1">
      <alignment horizontal="center" wrapText="1"/>
    </xf>
    <xf numFmtId="0" fontId="12" fillId="20" borderId="101" xfId="0" applyFont="1" applyFill="1" applyBorder="1" applyAlignment="1">
      <alignment horizontal="center" vertical="center"/>
    </xf>
    <xf numFmtId="0" fontId="49" fillId="0" borderId="103" xfId="0" applyFont="1" applyBorder="1" applyAlignment="1">
      <alignment horizontal="center"/>
    </xf>
    <xf numFmtId="168" fontId="0" fillId="0" borderId="0" xfId="0" applyNumberFormat="1" applyAlignment="1">
      <alignment horizontal="left"/>
    </xf>
    <xf numFmtId="1" fontId="44" fillId="0" borderId="0" xfId="0" applyNumberFormat="1" applyFont="1" applyAlignment="1">
      <alignment horizontal="center" textRotation="90"/>
    </xf>
    <xf numFmtId="0" fontId="0" fillId="0" borderId="0" xfId="0" applyAlignment="1">
      <alignment horizontal="center" vertical="center"/>
    </xf>
    <xf numFmtId="0" fontId="62" fillId="0" borderId="0" xfId="0" applyFont="1"/>
    <xf numFmtId="0" fontId="0" fillId="0" borderId="94" xfId="0" applyBorder="1" applyAlignment="1">
      <alignment horizontal="center" wrapText="1"/>
    </xf>
    <xf numFmtId="168" fontId="0" fillId="0" borderId="90" xfId="0" applyNumberFormat="1" applyBorder="1"/>
    <xf numFmtId="187" fontId="0" fillId="0" borderId="90" xfId="0" applyNumberFormat="1" applyBorder="1" applyAlignment="1">
      <alignment horizontal="left"/>
    </xf>
    <xf numFmtId="0" fontId="12" fillId="0" borderId="94" xfId="0" applyFont="1" applyBorder="1" applyAlignment="1">
      <alignment horizontal="center"/>
    </xf>
    <xf numFmtId="0" fontId="46" fillId="6" borderId="31" xfId="0" applyFont="1" applyFill="1" applyBorder="1" applyAlignment="1" applyProtection="1">
      <alignment horizontal="left" vertical="center"/>
      <protection locked="0"/>
    </xf>
    <xf numFmtId="0" fontId="31" fillId="0" borderId="0" xfId="0" applyFont="1" applyAlignment="1">
      <alignment horizontal="left" vertical="top" wrapText="1"/>
    </xf>
    <xf numFmtId="0" fontId="12" fillId="0" borderId="31" xfId="0" applyFont="1" applyBorder="1"/>
    <xf numFmtId="0" fontId="0" fillId="0" borderId="0" xfId="0" applyAlignment="1">
      <alignment vertical="center" wrapText="1"/>
    </xf>
    <xf numFmtId="0" fontId="12" fillId="0" borderId="0" xfId="0" applyFont="1" applyAlignment="1">
      <alignment horizontal="left" wrapText="1"/>
    </xf>
    <xf numFmtId="0" fontId="0" fillId="0" borderId="0" xfId="0" applyAlignment="1">
      <alignment horizontal="left" vertical="center" wrapText="1"/>
    </xf>
    <xf numFmtId="0" fontId="12" fillId="0" borderId="90" xfId="0" applyFont="1" applyBorder="1" applyAlignment="1">
      <alignment horizontal="left" wrapText="1"/>
    </xf>
    <xf numFmtId="0" fontId="0" fillId="0" borderId="29" xfId="33" applyFont="1" applyBorder="1" applyAlignment="1">
      <alignment horizontal="left" vertical="top" wrapText="1"/>
    </xf>
    <xf numFmtId="0" fontId="65" fillId="0" borderId="30" xfId="35" applyFont="1" applyBorder="1" applyAlignment="1">
      <alignment horizontal="left" vertical="top"/>
    </xf>
    <xf numFmtId="0" fontId="0" fillId="0" borderId="45" xfId="33" applyFont="1" applyBorder="1" applyAlignment="1">
      <alignment horizontal="left" vertical="top"/>
    </xf>
    <xf numFmtId="0" fontId="0" fillId="0" borderId="0" xfId="0" applyAlignment="1">
      <alignment horizontal="right"/>
    </xf>
    <xf numFmtId="1" fontId="44" fillId="0" borderId="0" xfId="0" applyNumberFormat="1" applyFont="1" applyAlignment="1">
      <alignment horizontal="right" textRotation="90"/>
    </xf>
    <xf numFmtId="0" fontId="0" fillId="0" borderId="0" xfId="0" applyAlignment="1">
      <alignment horizontal="right" vertical="center"/>
    </xf>
    <xf numFmtId="0" fontId="58" fillId="25" borderId="84" xfId="30" applyFont="1" applyFill="1" applyBorder="1" applyAlignment="1">
      <alignment horizontal="center" vertical="center"/>
    </xf>
    <xf numFmtId="0" fontId="62" fillId="0" borderId="0" xfId="0" applyFont="1" applyProtection="1">
      <protection locked="0"/>
    </xf>
    <xf numFmtId="0" fontId="22" fillId="0" borderId="12" xfId="0" applyFont="1" applyBorder="1" applyAlignment="1">
      <alignment horizontal="center" wrapText="1"/>
    </xf>
    <xf numFmtId="0" fontId="22" fillId="0" borderId="0" xfId="0" applyFont="1" applyAlignment="1">
      <alignment horizontal="center" wrapText="1"/>
    </xf>
    <xf numFmtId="49" fontId="0" fillId="6" borderId="66" xfId="0" applyNumberFormat="1" applyFill="1" applyBorder="1" applyAlignment="1" applyProtection="1">
      <alignment horizontal="center" vertical="center"/>
      <protection locked="0"/>
    </xf>
    <xf numFmtId="0" fontId="0" fillId="0" borderId="39" xfId="0" applyBorder="1" applyAlignment="1">
      <alignment horizontal="left"/>
    </xf>
    <xf numFmtId="0" fontId="66" fillId="27" borderId="0" xfId="50" applyFont="1" applyFill="1" applyAlignment="1">
      <alignment horizontal="center"/>
    </xf>
    <xf numFmtId="0" fontId="67" fillId="0" borderId="0" xfId="50"/>
    <xf numFmtId="49" fontId="66" fillId="27" borderId="0" xfId="50" applyNumberFormat="1" applyFont="1" applyFill="1" applyAlignment="1">
      <alignment horizontal="center"/>
    </xf>
    <xf numFmtId="49" fontId="67" fillId="0" borderId="0" xfId="50" applyNumberFormat="1"/>
    <xf numFmtId="0" fontId="24" fillId="0" borderId="0" xfId="0" applyFont="1" applyAlignment="1">
      <alignment horizontal="left"/>
    </xf>
    <xf numFmtId="4" fontId="0" fillId="6" borderId="46" xfId="0" applyNumberFormat="1" applyFill="1" applyBorder="1" applyAlignment="1" applyProtection="1">
      <alignment horizontal="center" textRotation="90" wrapText="1"/>
      <protection locked="0"/>
    </xf>
    <xf numFmtId="0" fontId="68" fillId="0" borderId="0" xfId="0" applyFont="1"/>
    <xf numFmtId="0" fontId="0" fillId="0" borderId="0" xfId="0" applyAlignment="1">
      <alignment vertical="top"/>
    </xf>
    <xf numFmtId="0" fontId="24" fillId="0" borderId="0" xfId="0" applyFont="1" applyAlignment="1">
      <alignment horizontal="right" vertical="center"/>
    </xf>
    <xf numFmtId="178" fontId="56" fillId="0" borderId="0" xfId="48" applyNumberFormat="1" applyFill="1" applyBorder="1" applyAlignment="1" applyProtection="1">
      <alignment horizontal="center" shrinkToFit="1"/>
    </xf>
    <xf numFmtId="166" fontId="0" fillId="0" borderId="110" xfId="49" applyFont="1" applyFill="1" applyBorder="1" applyAlignment="1" applyProtection="1">
      <alignment horizontal="center"/>
    </xf>
    <xf numFmtId="166" fontId="24" fillId="8" borderId="75" xfId="49" applyFont="1" applyFill="1" applyBorder="1" applyAlignment="1" applyProtection="1">
      <alignment horizontal="right"/>
    </xf>
    <xf numFmtId="166" fontId="56" fillId="0" borderId="111" xfId="49" applyFill="1" applyBorder="1" applyAlignment="1" applyProtection="1">
      <alignment horizontal="right"/>
    </xf>
    <xf numFmtId="10" fontId="0" fillId="29" borderId="52" xfId="38" applyNumberFormat="1" applyFont="1" applyFill="1" applyBorder="1" applyAlignment="1" applyProtection="1"/>
    <xf numFmtId="172" fontId="56" fillId="29" borderId="39" xfId="48" applyFill="1" applyBorder="1" applyAlignment="1" applyProtection="1">
      <alignment shrinkToFit="1"/>
    </xf>
    <xf numFmtId="166" fontId="24" fillId="29" borderId="67" xfId="49" applyFont="1" applyFill="1" applyBorder="1" applyAlignment="1" applyProtection="1">
      <alignment shrinkToFit="1"/>
    </xf>
    <xf numFmtId="172" fontId="24" fillId="29" borderId="95" xfId="48" applyFont="1" applyFill="1" applyBorder="1" applyAlignment="1" applyProtection="1">
      <alignment shrinkToFit="1"/>
    </xf>
    <xf numFmtId="10" fontId="56" fillId="0" borderId="112" xfId="37" applyNumberFormat="1" applyFill="1" applyBorder="1" applyAlignment="1" applyProtection="1">
      <alignment shrinkToFit="1"/>
    </xf>
    <xf numFmtId="0" fontId="46" fillId="0" borderId="113" xfId="34" applyFont="1" applyBorder="1" applyAlignment="1">
      <alignment horizontal="center"/>
    </xf>
    <xf numFmtId="0" fontId="46" fillId="0" borderId="87" xfId="34" applyFont="1" applyBorder="1"/>
    <xf numFmtId="0" fontId="69" fillId="0" borderId="0" xfId="34" applyFont="1"/>
    <xf numFmtId="11" fontId="46" fillId="0" borderId="0" xfId="34" applyNumberFormat="1" applyFont="1" applyAlignment="1">
      <alignment horizontal="center"/>
    </xf>
    <xf numFmtId="0" fontId="49" fillId="0" borderId="115" xfId="34" applyFont="1" applyBorder="1" applyAlignment="1">
      <alignment horizontal="center"/>
    </xf>
    <xf numFmtId="175" fontId="49" fillId="0" borderId="116" xfId="34" applyNumberFormat="1" applyFont="1" applyBorder="1" applyAlignment="1">
      <alignment horizontal="center"/>
    </xf>
    <xf numFmtId="10" fontId="0" fillId="29" borderId="117" xfId="38" applyNumberFormat="1" applyFont="1" applyFill="1" applyBorder="1" applyAlignment="1" applyProtection="1"/>
    <xf numFmtId="172" fontId="56" fillId="0" borderId="76" xfId="48" applyFill="1" applyBorder="1" applyAlignment="1" applyProtection="1">
      <alignment shrinkToFit="1"/>
    </xf>
    <xf numFmtId="172" fontId="56" fillId="29" borderId="76" xfId="48" applyFill="1" applyBorder="1" applyAlignment="1" applyProtection="1">
      <alignment shrinkToFit="1"/>
    </xf>
    <xf numFmtId="172" fontId="56" fillId="0" borderId="118" xfId="48" applyFill="1" applyBorder="1" applyAlignment="1" applyProtection="1">
      <alignment shrinkToFit="1"/>
    </xf>
    <xf numFmtId="166" fontId="24" fillId="29" borderId="119" xfId="49" applyFont="1" applyFill="1" applyBorder="1" applyAlignment="1" applyProtection="1">
      <alignment shrinkToFit="1"/>
    </xf>
    <xf numFmtId="172" fontId="24" fillId="29" borderId="58" xfId="48" applyFont="1" applyFill="1" applyBorder="1" applyAlignment="1" applyProtection="1">
      <alignment shrinkToFit="1"/>
    </xf>
    <xf numFmtId="10" fontId="56" fillId="0" borderId="120" xfId="37" applyNumberFormat="1" applyFill="1" applyBorder="1" applyAlignment="1" applyProtection="1">
      <alignment shrinkToFit="1"/>
    </xf>
    <xf numFmtId="0" fontId="0" fillId="30" borderId="0" xfId="0" applyFill="1"/>
    <xf numFmtId="0" fontId="24" fillId="30" borderId="0" xfId="0" applyFont="1" applyFill="1" applyAlignment="1">
      <alignment horizontal="right"/>
    </xf>
    <xf numFmtId="172" fontId="24" fillId="30" borderId="105" xfId="0" applyNumberFormat="1" applyFont="1" applyFill="1" applyBorder="1"/>
    <xf numFmtId="10" fontId="56" fillId="0" borderId="0" xfId="37" applyNumberFormat="1"/>
    <xf numFmtId="0" fontId="12" fillId="0" borderId="11" xfId="0" applyFont="1" applyBorder="1" applyAlignment="1">
      <alignment horizontal="center"/>
    </xf>
    <xf numFmtId="0" fontId="46" fillId="31" borderId="31" xfId="0" applyFont="1" applyFill="1" applyBorder="1" applyAlignment="1">
      <alignment horizontal="center" vertical="center"/>
    </xf>
    <xf numFmtId="172" fontId="56" fillId="31" borderId="28" xfId="48" applyFill="1" applyBorder="1" applyAlignment="1" applyProtection="1"/>
    <xf numFmtId="0" fontId="70" fillId="0" borderId="0" xfId="0" applyFont="1" applyAlignment="1">
      <alignment horizontal="left"/>
    </xf>
    <xf numFmtId="0" fontId="0" fillId="0" borderId="122" xfId="0" applyBorder="1"/>
    <xf numFmtId="0" fontId="0" fillId="0" borderId="123" xfId="0" applyBorder="1"/>
    <xf numFmtId="0" fontId="49" fillId="32" borderId="103" xfId="0" applyFont="1" applyFill="1" applyBorder="1" applyAlignment="1">
      <alignment horizontal="center"/>
    </xf>
    <xf numFmtId="0" fontId="12" fillId="32" borderId="124" xfId="0" applyFont="1" applyFill="1" applyBorder="1" applyAlignment="1">
      <alignment horizontal="right" vertical="center"/>
    </xf>
    <xf numFmtId="1" fontId="0" fillId="6" borderId="39" xfId="0" applyNumberFormat="1" applyFill="1" applyBorder="1" applyAlignment="1" applyProtection="1">
      <alignment horizontal="center" vertical="center"/>
      <protection locked="0"/>
    </xf>
    <xf numFmtId="0" fontId="71" fillId="0" borderId="0" xfId="0" applyFont="1"/>
    <xf numFmtId="0" fontId="72" fillId="0" borderId="0" xfId="0" applyFont="1"/>
    <xf numFmtId="0" fontId="31" fillId="0" borderId="0" xfId="0" applyFont="1" applyAlignment="1">
      <alignment vertical="center" wrapText="1"/>
    </xf>
    <xf numFmtId="166" fontId="23" fillId="0" borderId="0" xfId="0" applyNumberFormat="1" applyFont="1" applyAlignment="1">
      <alignment vertical="top"/>
    </xf>
    <xf numFmtId="166" fontId="23" fillId="0" borderId="0" xfId="0" applyNumberFormat="1" applyFont="1" applyAlignment="1">
      <alignment horizontal="right" vertical="center"/>
    </xf>
    <xf numFmtId="0" fontId="0" fillId="0" borderId="32" xfId="0" applyBorder="1" applyProtection="1">
      <protection locked="0"/>
    </xf>
    <xf numFmtId="1" fontId="0" fillId="0" borderId="89" xfId="0" applyNumberFormat="1" applyBorder="1" applyAlignment="1">
      <alignment vertical="top"/>
    </xf>
    <xf numFmtId="10" fontId="62" fillId="0" borderId="0" xfId="37" applyNumberFormat="1" applyFont="1" applyAlignment="1">
      <alignment horizontal="left"/>
    </xf>
    <xf numFmtId="0" fontId="73" fillId="0" borderId="0" xfId="0" applyFont="1"/>
    <xf numFmtId="0" fontId="75" fillId="0" borderId="0" xfId="0" applyFont="1"/>
    <xf numFmtId="0" fontId="73" fillId="0" borderId="0" xfId="0" applyFont="1" applyAlignment="1">
      <alignment vertical="center"/>
    </xf>
    <xf numFmtId="0" fontId="22" fillId="0" borderId="0" xfId="0" applyFont="1" applyAlignment="1">
      <alignment vertical="center"/>
    </xf>
    <xf numFmtId="0" fontId="75" fillId="0" borderId="0" xfId="0" applyFont="1" applyAlignment="1">
      <alignment horizontal="center"/>
    </xf>
    <xf numFmtId="0" fontId="68" fillId="0" borderId="0" xfId="0" applyFont="1" applyAlignment="1">
      <alignment horizontal="center" vertical="center"/>
    </xf>
    <xf numFmtId="0" fontId="76" fillId="17" borderId="31" xfId="0" applyFont="1" applyFill="1" applyBorder="1" applyAlignment="1">
      <alignment horizontal="center" vertical="center"/>
    </xf>
    <xf numFmtId="0" fontId="0" fillId="21" borderId="13" xfId="0" applyFill="1" applyBorder="1" applyAlignment="1">
      <alignment horizontal="left"/>
    </xf>
    <xf numFmtId="0" fontId="24" fillId="0" borderId="29" xfId="0" applyFont="1" applyBorder="1" applyAlignment="1">
      <alignment horizontal="center" vertical="center" wrapText="1"/>
    </xf>
    <xf numFmtId="0" fontId="74" fillId="0" borderId="0" xfId="0" applyFont="1"/>
    <xf numFmtId="0" fontId="75" fillId="0" borderId="0" xfId="0" applyFont="1" applyAlignment="1">
      <alignment vertical="center"/>
    </xf>
    <xf numFmtId="0" fontId="73" fillId="0" borderId="0" xfId="0" applyFont="1" applyAlignment="1">
      <alignment horizontal="right" vertical="center"/>
    </xf>
    <xf numFmtId="0" fontId="24" fillId="0" borderId="29" xfId="0" applyFont="1" applyBorder="1" applyAlignment="1">
      <alignment horizontal="right" vertical="center" wrapText="1"/>
    </xf>
    <xf numFmtId="0" fontId="77" fillId="0" borderId="0" xfId="0" applyFont="1" applyAlignment="1">
      <alignment vertical="top"/>
    </xf>
    <xf numFmtId="0" fontId="20" fillId="0" borderId="29" xfId="0" applyFont="1" applyBorder="1" applyAlignment="1">
      <alignment horizontal="center" vertical="center" wrapText="1"/>
    </xf>
    <xf numFmtId="0" fontId="74" fillId="8" borderId="72" xfId="0" applyFont="1" applyFill="1" applyBorder="1"/>
    <xf numFmtId="185" fontId="74" fillId="0" borderId="0" xfId="0" applyNumberFormat="1" applyFont="1"/>
    <xf numFmtId="0" fontId="77" fillId="0" borderId="0" xfId="0" applyFont="1"/>
    <xf numFmtId="179" fontId="0" fillId="6" borderId="66" xfId="0" applyNumberFormat="1" applyFill="1" applyBorder="1" applyAlignment="1" applyProtection="1">
      <alignment horizontal="right" vertical="center"/>
      <protection locked="0"/>
    </xf>
    <xf numFmtId="179" fontId="0" fillId="6" borderId="42" xfId="0" applyNumberFormat="1" applyFill="1" applyBorder="1" applyAlignment="1" applyProtection="1">
      <alignment horizontal="right" vertical="center"/>
      <protection locked="0"/>
    </xf>
    <xf numFmtId="179" fontId="0" fillId="6" borderId="43" xfId="0" applyNumberFormat="1" applyFill="1" applyBorder="1" applyAlignment="1" applyProtection="1">
      <alignment horizontal="right" vertical="center"/>
      <protection locked="0"/>
    </xf>
    <xf numFmtId="0" fontId="74" fillId="0" borderId="0" xfId="0" applyFont="1" applyAlignment="1">
      <alignment horizontal="left"/>
    </xf>
    <xf numFmtId="166" fontId="74" fillId="0" borderId="0" xfId="49" applyFont="1" applyFill="1" applyBorder="1" applyAlignment="1" applyProtection="1">
      <alignment horizontal="right"/>
    </xf>
    <xf numFmtId="0" fontId="74" fillId="0" borderId="0" xfId="0" applyFont="1" applyAlignment="1">
      <alignment horizontal="right"/>
    </xf>
    <xf numFmtId="0" fontId="73" fillId="0" borderId="29" xfId="33" applyFont="1" applyBorder="1"/>
    <xf numFmtId="0" fontId="0" fillId="0" borderId="0" xfId="0" quotePrefix="1" applyAlignment="1">
      <alignment horizontal="left" vertical="top"/>
    </xf>
    <xf numFmtId="10" fontId="62" fillId="0" borderId="114" xfId="38" applyNumberFormat="1" applyFont="1" applyFill="1" applyBorder="1" applyAlignment="1" applyProtection="1">
      <alignment horizontal="center"/>
      <protection locked="0"/>
    </xf>
    <xf numFmtId="49" fontId="56" fillId="0" borderId="125" xfId="50" applyNumberFormat="1" applyFont="1" applyBorder="1" applyAlignment="1">
      <alignment horizontal="center" vertical="center" wrapText="1"/>
    </xf>
    <xf numFmtId="49" fontId="56" fillId="0" borderId="125" xfId="50" quotePrefix="1" applyNumberFormat="1" applyFont="1" applyBorder="1" applyAlignment="1">
      <alignment horizontal="center" vertical="center" wrapText="1"/>
    </xf>
    <xf numFmtId="4" fontId="56" fillId="28" borderId="125" xfId="50" applyNumberFormat="1" applyFont="1" applyFill="1" applyBorder="1" applyAlignment="1">
      <alignment horizontal="center" vertical="center"/>
    </xf>
    <xf numFmtId="190" fontId="56" fillId="0" borderId="125" xfId="50" applyNumberFormat="1" applyFont="1" applyBorder="1" applyAlignment="1">
      <alignment horizontal="center" vertical="center"/>
    </xf>
    <xf numFmtId="10" fontId="56" fillId="0" borderId="125" xfId="37" applyNumberFormat="1" applyBorder="1" applyAlignment="1">
      <alignment horizontal="center" vertical="center"/>
    </xf>
    <xf numFmtId="190" fontId="56" fillId="28" borderId="125" xfId="50" applyNumberFormat="1" applyFont="1" applyFill="1" applyBorder="1" applyAlignment="1">
      <alignment horizontal="center" vertical="center"/>
    </xf>
    <xf numFmtId="1" fontId="56" fillId="0" borderId="125" xfId="50" applyNumberFormat="1" applyFont="1" applyBorder="1" applyAlignment="1">
      <alignment horizontal="center" vertical="center" wrapText="1"/>
    </xf>
    <xf numFmtId="4" fontId="56" fillId="0" borderId="125" xfId="50" applyNumberFormat="1" applyFont="1" applyBorder="1" applyAlignment="1">
      <alignment horizontal="center" vertical="center"/>
    </xf>
    <xf numFmtId="2" fontId="56" fillId="0" borderId="125" xfId="50" applyNumberFormat="1" applyFont="1" applyBorder="1" applyAlignment="1">
      <alignment horizontal="center" vertical="center"/>
    </xf>
    <xf numFmtId="190" fontId="56" fillId="28" borderId="125" xfId="50" applyNumberFormat="1" applyFont="1" applyFill="1" applyBorder="1" applyAlignment="1">
      <alignment horizontal="center" vertical="center" wrapText="1"/>
    </xf>
    <xf numFmtId="0" fontId="73" fillId="0" borderId="0" xfId="0" applyFont="1" applyAlignment="1">
      <alignment horizontal="left" vertical="center"/>
    </xf>
    <xf numFmtId="0" fontId="56" fillId="0" borderId="128" xfId="50" applyFont="1" applyBorder="1" applyAlignment="1">
      <alignment horizontal="center" vertical="center" wrapText="1"/>
    </xf>
    <xf numFmtId="0" fontId="32" fillId="0" borderId="92" xfId="0" applyFont="1" applyBorder="1" applyAlignment="1">
      <alignment horizontal="center"/>
    </xf>
    <xf numFmtId="0" fontId="24" fillId="0" borderId="94" xfId="0" applyFont="1" applyBorder="1" applyAlignment="1">
      <alignment horizontal="center"/>
    </xf>
    <xf numFmtId="0" fontId="24" fillId="0" borderId="92" xfId="0" applyFont="1" applyBorder="1" applyAlignment="1">
      <alignment horizontal="center"/>
    </xf>
    <xf numFmtId="0" fontId="28" fillId="0" borderId="129" xfId="0" applyFont="1" applyBorder="1"/>
    <xf numFmtId="0" fontId="27" fillId="0" borderId="130" xfId="0" applyFont="1" applyBorder="1" applyAlignment="1">
      <alignment horizontal="left" indent="1"/>
    </xf>
    <xf numFmtId="0" fontId="0" fillId="0" borderId="130" xfId="0" applyBorder="1" applyAlignment="1">
      <alignment vertical="center" wrapText="1"/>
    </xf>
    <xf numFmtId="0" fontId="28" fillId="0" borderId="131" xfId="0" applyFont="1" applyBorder="1"/>
    <xf numFmtId="0" fontId="47" fillId="0" borderId="0" xfId="0" applyFont="1" applyAlignment="1" applyProtection="1">
      <alignment horizontal="center" vertical="center"/>
      <protection locked="0"/>
    </xf>
    <xf numFmtId="0" fontId="0" fillId="0" borderId="132" xfId="0" applyBorder="1"/>
    <xf numFmtId="0" fontId="0" fillId="0" borderId="130" xfId="0" applyBorder="1"/>
    <xf numFmtId="0" fontId="0" fillId="0" borderId="131" xfId="0" applyBorder="1"/>
    <xf numFmtId="0" fontId="0" fillId="0" borderId="134" xfId="0" applyBorder="1"/>
    <xf numFmtId="0" fontId="24" fillId="0" borderId="136" xfId="0" applyFont="1" applyBorder="1"/>
    <xf numFmtId="0" fontId="24" fillId="0" borderId="137" xfId="0" applyFont="1" applyBorder="1"/>
    <xf numFmtId="49" fontId="24" fillId="17" borderId="127" xfId="0" applyNumberFormat="1" applyFont="1" applyFill="1" applyBorder="1" applyAlignment="1">
      <alignment horizontal="center" vertical="center"/>
    </xf>
    <xf numFmtId="172" fontId="24" fillId="17" borderId="127" xfId="48" applyFont="1" applyFill="1" applyBorder="1" applyAlignment="1" applyProtection="1">
      <alignment horizontal="center" vertical="center"/>
    </xf>
    <xf numFmtId="10" fontId="24" fillId="17" borderId="127" xfId="37" applyNumberFormat="1" applyFont="1" applyFill="1" applyBorder="1" applyAlignment="1" applyProtection="1">
      <alignment horizontal="center" vertical="center"/>
    </xf>
    <xf numFmtId="0" fontId="0" fillId="22" borderId="126" xfId="0" applyFill="1" applyBorder="1"/>
    <xf numFmtId="0" fontId="0" fillId="22" borderId="127" xfId="0" applyFill="1" applyBorder="1"/>
    <xf numFmtId="0" fontId="0" fillId="21" borderId="126" xfId="0" applyFill="1" applyBorder="1"/>
    <xf numFmtId="0" fontId="0" fillId="21" borderId="127" xfId="0" applyFill="1" applyBorder="1"/>
    <xf numFmtId="172" fontId="56" fillId="0" borderId="125" xfId="48" applyBorder="1" applyAlignment="1" applyProtection="1">
      <alignment shrinkToFit="1"/>
    </xf>
    <xf numFmtId="172" fontId="74" fillId="0" borderId="125" xfId="48" applyFont="1" applyBorder="1" applyAlignment="1" applyProtection="1">
      <alignment shrinkToFit="1"/>
    </xf>
    <xf numFmtId="0" fontId="0" fillId="0" borderId="125" xfId="0" applyBorder="1" applyAlignment="1">
      <alignment horizontal="center" wrapText="1"/>
    </xf>
    <xf numFmtId="0" fontId="12" fillId="0" borderId="126" xfId="0" applyFont="1" applyBorder="1"/>
    <xf numFmtId="0" fontId="12" fillId="0" borderId="125" xfId="0" applyFont="1" applyBorder="1" applyAlignment="1">
      <alignment horizontal="center"/>
    </xf>
    <xf numFmtId="172" fontId="24" fillId="30" borderId="125" xfId="0" applyNumberFormat="1" applyFont="1" applyFill="1" applyBorder="1"/>
    <xf numFmtId="0" fontId="46" fillId="31" borderId="126" xfId="0" applyFont="1" applyFill="1" applyBorder="1" applyAlignment="1">
      <alignment horizontal="left" vertical="center"/>
    </xf>
    <xf numFmtId="172" fontId="56" fillId="31" borderId="125" xfId="48" applyFill="1" applyBorder="1" applyAlignment="1" applyProtection="1">
      <alignment horizontal="left" vertical="center" shrinkToFit="1"/>
    </xf>
    <xf numFmtId="172" fontId="56" fillId="18" borderId="125" xfId="48" applyFill="1" applyBorder="1" applyAlignment="1" applyProtection="1">
      <alignment horizontal="left" vertical="center" shrinkToFit="1"/>
    </xf>
    <xf numFmtId="0" fontId="0" fillId="18" borderId="126" xfId="0" applyFill="1" applyBorder="1"/>
    <xf numFmtId="0" fontId="0" fillId="18" borderId="127" xfId="0" applyFill="1" applyBorder="1"/>
    <xf numFmtId="0" fontId="0" fillId="18" borderId="125" xfId="0" applyFill="1" applyBorder="1" applyAlignment="1">
      <alignment horizontal="center"/>
    </xf>
    <xf numFmtId="0" fontId="0" fillId="0" borderId="125" xfId="0" applyBorder="1" applyAlignment="1">
      <alignment horizontal="center"/>
    </xf>
    <xf numFmtId="0" fontId="0" fillId="16" borderId="125" xfId="48" applyNumberFormat="1" applyFont="1" applyFill="1" applyBorder="1" applyAlignment="1" applyProtection="1">
      <alignment horizontal="left" vertical="center"/>
      <protection locked="0"/>
    </xf>
    <xf numFmtId="0" fontId="24" fillId="17" borderId="125" xfId="0" applyFont="1" applyFill="1" applyBorder="1" applyAlignment="1">
      <alignment horizontal="left" vertical="center"/>
    </xf>
    <xf numFmtId="0" fontId="47" fillId="21" borderId="126" xfId="0" applyFont="1" applyFill="1" applyBorder="1"/>
    <xf numFmtId="0" fontId="0" fillId="0" borderId="127" xfId="0" applyBorder="1"/>
    <xf numFmtId="0" fontId="0" fillId="4" borderId="126" xfId="0" applyFill="1" applyBorder="1"/>
    <xf numFmtId="0" fontId="0" fillId="4" borderId="127" xfId="0" applyFill="1" applyBorder="1"/>
    <xf numFmtId="0" fontId="46" fillId="21" borderId="126" xfId="34" applyFont="1" applyFill="1" applyBorder="1" applyAlignment="1">
      <alignment horizontal="center"/>
    </xf>
    <xf numFmtId="0" fontId="46" fillId="21" borderId="127" xfId="34" applyFont="1" applyFill="1" applyBorder="1" applyAlignment="1">
      <alignment horizontal="center"/>
    </xf>
    <xf numFmtId="0" fontId="46" fillId="23" borderId="127" xfId="34" applyFont="1" applyFill="1" applyBorder="1"/>
    <xf numFmtId="0" fontId="46" fillId="22" borderId="126" xfId="34" applyFont="1" applyFill="1" applyBorder="1"/>
    <xf numFmtId="0" fontId="46" fillId="22" borderId="127" xfId="34" applyFont="1" applyFill="1" applyBorder="1"/>
    <xf numFmtId="0" fontId="46" fillId="24" borderId="127" xfId="34" applyFont="1" applyFill="1" applyBorder="1" applyAlignment="1">
      <alignment horizontal="center"/>
    </xf>
    <xf numFmtId="166" fontId="0" fillId="22" borderId="127" xfId="49" applyFont="1" applyFill="1" applyBorder="1" applyAlignment="1" applyProtection="1">
      <alignment horizontal="center"/>
    </xf>
    <xf numFmtId="0" fontId="24" fillId="0" borderId="126" xfId="0" applyFont="1" applyBorder="1" applyAlignment="1">
      <alignment horizontal="center" vertical="center" wrapText="1"/>
    </xf>
    <xf numFmtId="0" fontId="24" fillId="0" borderId="127" xfId="0" applyFont="1" applyBorder="1" applyAlignment="1">
      <alignment horizontal="center" vertical="center" wrapText="1"/>
    </xf>
    <xf numFmtId="0" fontId="0" fillId="0" borderId="126" xfId="0" applyBorder="1" applyAlignment="1">
      <alignment horizontal="center" wrapText="1"/>
    </xf>
    <xf numFmtId="179" fontId="17" fillId="8" borderId="126" xfId="0" applyNumberFormat="1" applyFont="1" applyFill="1" applyBorder="1" applyAlignment="1">
      <alignment horizontal="center" vertical="center"/>
    </xf>
    <xf numFmtId="179" fontId="17" fillId="8" borderId="127" xfId="0" applyNumberFormat="1" applyFont="1" applyFill="1" applyBorder="1" applyAlignment="1">
      <alignment horizontal="center" vertical="center"/>
    </xf>
    <xf numFmtId="0" fontId="56" fillId="0" borderId="125" xfId="50" applyFont="1" applyBorder="1" applyAlignment="1">
      <alignment horizontal="center" vertical="center" wrapText="1"/>
    </xf>
    <xf numFmtId="0" fontId="0" fillId="0" borderId="0" xfId="0" applyAlignment="1">
      <alignment horizontal="center"/>
    </xf>
    <xf numFmtId="0" fontId="0" fillId="0" borderId="0" xfId="0" applyAlignment="1">
      <alignment horizontal="left"/>
    </xf>
    <xf numFmtId="0" fontId="0" fillId="0" borderId="0" xfId="0"/>
    <xf numFmtId="0" fontId="18" fillId="0" borderId="133" xfId="0" applyFont="1" applyBorder="1" applyAlignment="1">
      <alignment horizontal="center" vertical="center"/>
    </xf>
    <xf numFmtId="0" fontId="19" fillId="20" borderId="0" xfId="0" applyFont="1" applyFill="1" applyAlignment="1">
      <alignment horizontal="center" vertical="center"/>
    </xf>
    <xf numFmtId="0" fontId="12" fillId="0" borderId="98" xfId="0" applyFont="1" applyBorder="1" applyAlignment="1">
      <alignment horizontal="center" vertical="center"/>
    </xf>
    <xf numFmtId="0" fontId="24" fillId="0" borderId="135" xfId="0" applyFont="1" applyBorder="1" applyAlignment="1">
      <alignment horizontal="center"/>
    </xf>
    <xf numFmtId="0" fontId="0" fillId="0" borderId="10" xfId="33" applyFont="1" applyBorder="1" applyAlignment="1">
      <alignment horizontal="left" vertical="center"/>
    </xf>
    <xf numFmtId="0" fontId="8" fillId="0" borderId="31" xfId="33" applyFont="1" applyBorder="1" applyAlignment="1">
      <alignment horizontal="left" vertical="center" wrapText="1"/>
    </xf>
    <xf numFmtId="49" fontId="0" fillId="6" borderId="31" xfId="33" applyNumberFormat="1" applyFont="1" applyFill="1" applyBorder="1" applyAlignment="1" applyProtection="1">
      <alignment horizontal="left" vertical="top" wrapText="1"/>
      <protection locked="0"/>
    </xf>
    <xf numFmtId="168" fontId="0" fillId="0" borderId="29" xfId="33" applyNumberFormat="1" applyFont="1" applyBorder="1" applyAlignment="1">
      <alignment horizontal="left"/>
    </xf>
    <xf numFmtId="187" fontId="0" fillId="0" borderId="29" xfId="33" applyNumberFormat="1" applyFont="1" applyBorder="1" applyAlignment="1">
      <alignment horizontal="left"/>
    </xf>
    <xf numFmtId="0" fontId="24" fillId="0" borderId="0" xfId="33" applyFont="1" applyAlignment="1">
      <alignment horizontal="left" vertical="center"/>
    </xf>
    <xf numFmtId="0" fontId="17" fillId="0" borderId="0" xfId="33" applyFont="1" applyAlignment="1">
      <alignment horizontal="left" vertical="center"/>
    </xf>
    <xf numFmtId="0" fontId="33" fillId="0" borderId="0" xfId="0" applyFont="1" applyAlignment="1">
      <alignment horizontal="center" vertical="top"/>
    </xf>
    <xf numFmtId="0" fontId="0" fillId="0" borderId="31" xfId="33" applyFont="1" applyBorder="1" applyAlignment="1">
      <alignment horizontal="center" vertical="center" wrapText="1"/>
    </xf>
    <xf numFmtId="4" fontId="30" fillId="0" borderId="126" xfId="33" applyNumberFormat="1" applyFont="1" applyBorder="1" applyAlignment="1">
      <alignment horizontal="center" vertical="center"/>
    </xf>
    <xf numFmtId="4" fontId="30" fillId="0" borderId="127" xfId="33" applyNumberFormat="1" applyFont="1" applyBorder="1" applyAlignment="1">
      <alignment horizontal="center" vertical="center"/>
    </xf>
    <xf numFmtId="4" fontId="30" fillId="0" borderId="44" xfId="33" applyNumberFormat="1" applyFont="1" applyBorder="1" applyAlignment="1">
      <alignment horizontal="center" vertical="center"/>
    </xf>
    <xf numFmtId="4" fontId="17" fillId="0" borderId="31" xfId="33" applyNumberFormat="1" applyFont="1" applyBorder="1" applyAlignment="1">
      <alignment horizontal="center" vertical="center" wrapText="1"/>
    </xf>
    <xf numFmtId="0" fontId="30" fillId="8" borderId="31" xfId="33" applyFont="1" applyFill="1" applyBorder="1" applyAlignment="1">
      <alignment horizontal="center" vertical="center" wrapText="1"/>
    </xf>
    <xf numFmtId="0" fontId="32" fillId="0" borderId="0" xfId="33" applyFont="1" applyAlignment="1">
      <alignment horizontal="left" vertical="center" indent="1"/>
    </xf>
    <xf numFmtId="0" fontId="39" fillId="0" borderId="0" xfId="0" applyFont="1" applyAlignment="1">
      <alignment horizontal="center" textRotation="90"/>
    </xf>
    <xf numFmtId="0" fontId="0" fillId="0" borderId="0" xfId="33" applyFont="1" applyAlignment="1">
      <alignment horizontal="center" vertical="center"/>
    </xf>
    <xf numFmtId="0" fontId="33" fillId="0" borderId="0" xfId="0" applyFont="1" applyAlignment="1">
      <alignment horizontal="right" vertical="center"/>
    </xf>
    <xf numFmtId="0" fontId="34" fillId="0" borderId="0" xfId="0" applyFont="1" applyAlignment="1">
      <alignment horizontal="center"/>
    </xf>
    <xf numFmtId="0" fontId="33" fillId="0" borderId="0" xfId="0" applyFont="1" applyAlignment="1">
      <alignment horizontal="left" vertical="center"/>
    </xf>
    <xf numFmtId="0" fontId="24" fillId="0" borderId="31" xfId="33" applyFont="1" applyBorder="1" applyAlignment="1">
      <alignment horizontal="center" vertical="center"/>
    </xf>
    <xf numFmtId="0" fontId="17" fillId="0" borderId="31" xfId="33" applyFont="1" applyBorder="1" applyAlignment="1">
      <alignment horizontal="center" vertical="center"/>
    </xf>
    <xf numFmtId="0" fontId="24" fillId="0" borderId="30" xfId="35" applyFont="1" applyBorder="1" applyAlignment="1">
      <alignment horizontal="left" vertical="top"/>
    </xf>
    <xf numFmtId="165" fontId="8" fillId="16" borderId="13" xfId="32" applyFont="1" applyFill="1" applyBorder="1" applyAlignment="1" applyProtection="1">
      <alignment horizontal="left"/>
      <protection locked="0"/>
    </xf>
    <xf numFmtId="0" fontId="23" fillId="0" borderId="31" xfId="33" applyFont="1" applyBorder="1" applyAlignment="1">
      <alignment horizontal="center"/>
    </xf>
    <xf numFmtId="4" fontId="30" fillId="0" borderId="31" xfId="33" applyNumberFormat="1" applyFont="1" applyBorder="1" applyAlignment="1">
      <alignment horizontal="center" vertical="center"/>
    </xf>
    <xf numFmtId="0" fontId="0" fillId="0" borderId="13" xfId="33" applyFont="1" applyBorder="1" applyAlignment="1">
      <alignment horizontal="left" vertical="top" wrapText="1"/>
    </xf>
    <xf numFmtId="0" fontId="0" fillId="0" borderId="30" xfId="0" applyBorder="1" applyAlignment="1">
      <alignment horizontal="center"/>
    </xf>
    <xf numFmtId="0" fontId="24" fillId="0" borderId="13" xfId="0" applyFont="1" applyBorder="1" applyAlignment="1">
      <alignment horizontal="center"/>
    </xf>
    <xf numFmtId="0" fontId="8" fillId="0" borderId="31" xfId="33" applyFont="1" applyBorder="1" applyAlignment="1">
      <alignment horizontal="left"/>
    </xf>
    <xf numFmtId="10" fontId="8" fillId="6" borderId="31" xfId="33" applyNumberFormat="1" applyFont="1" applyFill="1" applyBorder="1" applyAlignment="1" applyProtection="1">
      <alignment horizontal="center"/>
      <protection locked="0"/>
    </xf>
    <xf numFmtId="0" fontId="8" fillId="0" borderId="13" xfId="32" applyNumberFormat="1" applyFont="1" applyFill="1" applyBorder="1" applyAlignment="1" applyProtection="1">
      <alignment horizontal="left" wrapText="1"/>
    </xf>
    <xf numFmtId="0" fontId="8" fillId="0" borderId="31" xfId="33" applyFont="1" applyBorder="1" applyAlignment="1">
      <alignment horizontal="left" wrapText="1"/>
    </xf>
    <xf numFmtId="0" fontId="0" fillId="0" borderId="31" xfId="0" applyBorder="1" applyAlignment="1">
      <alignment horizontal="center"/>
    </xf>
    <xf numFmtId="0" fontId="24" fillId="0" borderId="32" xfId="35" applyFont="1" applyBorder="1" applyAlignment="1">
      <alignment horizontal="left" vertical="top"/>
    </xf>
    <xf numFmtId="0" fontId="60" fillId="0" borderId="0" xfId="0" applyFont="1" applyAlignment="1">
      <alignment horizontal="center" textRotation="90" wrapText="1"/>
    </xf>
    <xf numFmtId="0" fontId="24" fillId="0" borderId="12" xfId="0" applyFont="1" applyBorder="1" applyAlignment="1">
      <alignment horizontal="center"/>
    </xf>
    <xf numFmtId="0" fontId="39" fillId="0" borderId="0" xfId="0" applyFont="1" applyAlignment="1">
      <alignment horizontal="center" textRotation="90" wrapText="1"/>
    </xf>
    <xf numFmtId="0" fontId="0" fillId="14" borderId="0" xfId="0" applyFill="1" applyAlignment="1">
      <alignment horizontal="left"/>
    </xf>
    <xf numFmtId="0" fontId="0" fillId="0" borderId="45" xfId="33" applyFont="1" applyBorder="1" applyAlignment="1">
      <alignment horizontal="left" vertical="top" wrapText="1"/>
    </xf>
    <xf numFmtId="187" fontId="0" fillId="0" borderId="0" xfId="0" applyNumberFormat="1" applyAlignment="1">
      <alignment horizontal="left"/>
    </xf>
    <xf numFmtId="0" fontId="24" fillId="17" borderId="126" xfId="0" applyFont="1" applyFill="1" applyBorder="1" applyAlignment="1">
      <alignment horizontal="left" vertical="center" wrapText="1"/>
    </xf>
    <xf numFmtId="0" fontId="24" fillId="17" borderId="127" xfId="0" applyFont="1" applyFill="1" applyBorder="1" applyAlignment="1">
      <alignment horizontal="left" vertical="center" wrapText="1"/>
    </xf>
    <xf numFmtId="0" fontId="30" fillId="0" borderId="31" xfId="0" applyFont="1" applyBorder="1" applyAlignment="1" applyProtection="1">
      <alignment horizontal="left" vertical="center"/>
      <protection locked="0"/>
    </xf>
    <xf numFmtId="0" fontId="30" fillId="6" borderId="13" xfId="0" applyFont="1" applyFill="1" applyBorder="1" applyAlignment="1" applyProtection="1">
      <alignment horizontal="left" vertical="top" wrapText="1"/>
      <protection locked="0"/>
    </xf>
    <xf numFmtId="0" fontId="17" fillId="0" borderId="31" xfId="0" applyFont="1" applyBorder="1" applyAlignment="1">
      <alignment horizontal="left" wrapText="1"/>
    </xf>
    <xf numFmtId="168" fontId="0" fillId="0" borderId="29" xfId="0" applyNumberFormat="1" applyBorder="1" applyAlignment="1">
      <alignment horizontal="left"/>
    </xf>
    <xf numFmtId="0" fontId="0" fillId="0" borderId="31" xfId="0" applyBorder="1" applyAlignment="1">
      <alignment horizontal="left" wrapText="1"/>
    </xf>
    <xf numFmtId="0" fontId="46" fillId="0" borderId="100" xfId="34" applyFont="1" applyBorder="1" applyAlignment="1">
      <alignment horizontal="left"/>
    </xf>
    <xf numFmtId="0" fontId="46" fillId="0" borderId="90" xfId="34" applyFont="1" applyBorder="1" applyAlignment="1">
      <alignment horizontal="left"/>
    </xf>
    <xf numFmtId="0" fontId="46" fillId="0" borderId="108" xfId="34" applyFont="1" applyBorder="1" applyAlignment="1">
      <alignment horizontal="left"/>
    </xf>
    <xf numFmtId="0" fontId="1" fillId="0" borderId="125" xfId="0" applyFont="1" applyBorder="1" applyAlignment="1">
      <alignment horizontal="center" vertical="center" wrapText="1"/>
    </xf>
    <xf numFmtId="0" fontId="1" fillId="0" borderId="85" xfId="0" applyFont="1" applyBorder="1" applyAlignment="1">
      <alignment horizontal="center" vertical="center" wrapText="1"/>
    </xf>
    <xf numFmtId="0" fontId="1" fillId="0" borderId="87" xfId="0" applyFont="1" applyBorder="1" applyAlignment="1">
      <alignment horizontal="center" vertical="center" wrapText="1"/>
    </xf>
    <xf numFmtId="0" fontId="1" fillId="0" borderId="89" xfId="0" applyFont="1" applyBorder="1" applyAlignment="1">
      <alignment horizontal="center" vertical="center" wrapText="1"/>
    </xf>
    <xf numFmtId="0" fontId="0" fillId="16" borderId="106" xfId="0" applyFill="1" applyBorder="1" applyAlignment="1" applyProtection="1">
      <alignment horizontal="left" vertical="center"/>
      <protection locked="0"/>
    </xf>
    <xf numFmtId="0" fontId="0" fillId="16" borderId="107" xfId="0" applyFill="1" applyBorder="1" applyAlignment="1" applyProtection="1">
      <alignment horizontal="left" vertical="center"/>
      <protection locked="0"/>
    </xf>
    <xf numFmtId="0" fontId="31" fillId="0" borderId="0" xfId="0" applyFont="1" applyAlignment="1">
      <alignment horizontal="center" vertical="top" wrapText="1"/>
    </xf>
    <xf numFmtId="0" fontId="24" fillId="17" borderId="31" xfId="0" applyFont="1" applyFill="1" applyBorder="1" applyAlignment="1">
      <alignment horizontal="left" vertical="center" wrapText="1"/>
    </xf>
    <xf numFmtId="0" fontId="23" fillId="0" borderId="0" xfId="0" applyFont="1" applyAlignment="1">
      <alignment horizontal="left" vertical="center" indent="10"/>
    </xf>
    <xf numFmtId="0" fontId="37" fillId="0" borderId="0" xfId="0" applyFont="1" applyAlignment="1">
      <alignment horizontal="left" vertical="center" indent="10"/>
    </xf>
    <xf numFmtId="0" fontId="12" fillId="0" borderId="102" xfId="0" applyFont="1" applyBorder="1" applyAlignment="1">
      <alignment horizontal="right" vertical="center"/>
    </xf>
    <xf numFmtId="0" fontId="12" fillId="0" borderId="121" xfId="0" applyFont="1" applyBorder="1" applyAlignment="1">
      <alignment horizontal="right" vertical="center"/>
    </xf>
    <xf numFmtId="10" fontId="46" fillId="32" borderId="125" xfId="37" applyNumberFormat="1" applyFont="1" applyFill="1" applyBorder="1" applyAlignment="1" applyProtection="1">
      <alignment horizontal="center"/>
    </xf>
    <xf numFmtId="10" fontId="56" fillId="32" borderId="103" xfId="37" applyNumberFormat="1" applyFill="1" applyBorder="1" applyAlignment="1" applyProtection="1">
      <alignment horizontal="center" shrinkToFit="1"/>
    </xf>
    <xf numFmtId="10" fontId="56" fillId="32" borderId="105" xfId="37" applyNumberFormat="1" applyFill="1" applyBorder="1" applyAlignment="1" applyProtection="1">
      <alignment horizontal="center" shrinkToFit="1"/>
    </xf>
    <xf numFmtId="10" fontId="46" fillId="32" borderId="103" xfId="37" applyNumberFormat="1" applyFont="1" applyFill="1" applyBorder="1" applyAlignment="1" applyProtection="1">
      <alignment horizontal="center"/>
    </xf>
    <xf numFmtId="10" fontId="46" fillId="32" borderId="105" xfId="37" applyNumberFormat="1" applyFont="1" applyFill="1" applyBorder="1" applyAlignment="1" applyProtection="1">
      <alignment horizontal="center"/>
    </xf>
    <xf numFmtId="172" fontId="56" fillId="0" borderId="103" xfId="48" applyBorder="1" applyAlignment="1" applyProtection="1">
      <alignment horizontal="center" shrinkToFit="1"/>
    </xf>
    <xf numFmtId="172" fontId="56" fillId="0" borderId="105" xfId="48" applyBorder="1" applyAlignment="1" applyProtection="1">
      <alignment horizontal="center" shrinkToFit="1"/>
    </xf>
    <xf numFmtId="187" fontId="63" fillId="0" borderId="29" xfId="0" applyNumberFormat="1" applyFont="1" applyBorder="1" applyAlignment="1">
      <alignment horizontal="left"/>
    </xf>
    <xf numFmtId="172" fontId="56" fillId="0" borderId="125" xfId="48" applyBorder="1" applyAlignment="1" applyProtection="1">
      <alignment horizontal="center" shrinkToFit="1"/>
    </xf>
    <xf numFmtId="0" fontId="0" fillId="0" borderId="89" xfId="0" applyBorder="1" applyAlignment="1">
      <alignment horizontal="center" wrapText="1"/>
    </xf>
    <xf numFmtId="0" fontId="0" fillId="0" borderId="90" xfId="0" applyBorder="1" applyAlignment="1">
      <alignment horizontal="center" wrapText="1"/>
    </xf>
    <xf numFmtId="0" fontId="0" fillId="0" borderId="91" xfId="0" applyBorder="1" applyAlignment="1">
      <alignment horizontal="center" wrapText="1"/>
    </xf>
    <xf numFmtId="0" fontId="46" fillId="0" borderId="91" xfId="34" applyFont="1" applyBorder="1" applyAlignment="1">
      <alignment horizontal="left"/>
    </xf>
    <xf numFmtId="188" fontId="49" fillId="20" borderId="125" xfId="37" applyNumberFormat="1" applyFont="1" applyFill="1" applyBorder="1" applyAlignment="1" applyProtection="1">
      <alignment horizontal="center"/>
    </xf>
    <xf numFmtId="0" fontId="24" fillId="8" borderId="1" xfId="0" applyFont="1" applyFill="1" applyBorder="1" applyAlignment="1">
      <alignment horizontal="center" wrapText="1"/>
    </xf>
    <xf numFmtId="0" fontId="12" fillId="0" borderId="104" xfId="0" applyFont="1" applyBorder="1" applyAlignment="1">
      <alignment horizontal="right" vertical="center"/>
    </xf>
    <xf numFmtId="189" fontId="46" fillId="0" borderId="125" xfId="48" applyNumberFormat="1" applyFont="1" applyBorder="1" applyAlignment="1" applyProtection="1">
      <alignment horizontal="center" shrinkToFit="1"/>
    </xf>
    <xf numFmtId="189" fontId="46" fillId="0" borderId="103" xfId="48" applyNumberFormat="1" applyFont="1" applyBorder="1" applyAlignment="1" applyProtection="1">
      <alignment horizontal="center" shrinkToFit="1"/>
    </xf>
    <xf numFmtId="189" fontId="46" fillId="0" borderId="105" xfId="48" applyNumberFormat="1" applyFont="1" applyBorder="1" applyAlignment="1" applyProtection="1">
      <alignment horizontal="center" shrinkToFit="1"/>
    </xf>
    <xf numFmtId="174" fontId="24" fillId="0" borderId="31" xfId="48" applyNumberFormat="1" applyFont="1" applyFill="1" applyBorder="1" applyAlignment="1" applyProtection="1">
      <alignment horizontal="center" vertical="center"/>
    </xf>
    <xf numFmtId="166" fontId="0" fillId="0" borderId="13" xfId="49" applyFont="1" applyFill="1" applyBorder="1" applyAlignment="1" applyProtection="1">
      <alignment horizontal="left"/>
    </xf>
    <xf numFmtId="0" fontId="46" fillId="0" borderId="13" xfId="34" applyFont="1" applyBorder="1" applyAlignment="1">
      <alignment horizontal="left"/>
    </xf>
    <xf numFmtId="0" fontId="22" fillId="0" borderId="29" xfId="34" applyFont="1" applyBorder="1" applyAlignment="1">
      <alignment horizontal="center" vertical="center" wrapText="1"/>
    </xf>
    <xf numFmtId="0" fontId="50" fillId="0" borderId="11" xfId="34" applyFont="1" applyBorder="1" applyAlignment="1">
      <alignment horizontal="left" vertical="top"/>
    </xf>
    <xf numFmtId="0" fontId="46" fillId="0" borderId="31" xfId="34" applyFont="1" applyBorder="1" applyAlignment="1">
      <alignment horizontal="center" wrapText="1"/>
    </xf>
    <xf numFmtId="0" fontId="49" fillId="0" borderId="126" xfId="34" applyFont="1" applyBorder="1" applyAlignment="1">
      <alignment horizontal="center" vertical="center" wrapText="1"/>
    </xf>
    <xf numFmtId="0" fontId="49" fillId="0" borderId="127" xfId="34" applyFont="1" applyBorder="1" applyAlignment="1">
      <alignment horizontal="left" vertical="center" wrapText="1"/>
    </xf>
    <xf numFmtId="187" fontId="0" fillId="0" borderId="29" xfId="0" applyNumberFormat="1" applyBorder="1" applyAlignment="1">
      <alignment horizontal="left"/>
    </xf>
    <xf numFmtId="0" fontId="0" fillId="16" borderId="109" xfId="0" applyFill="1" applyBorder="1" applyAlignment="1" applyProtection="1">
      <alignment horizontal="left" vertical="center"/>
      <protection locked="0"/>
    </xf>
    <xf numFmtId="166" fontId="24" fillId="0" borderId="44" xfId="49" applyFont="1" applyFill="1" applyBorder="1" applyAlignment="1" applyProtection="1">
      <alignment horizontal="center" vertical="center" wrapText="1"/>
    </xf>
    <xf numFmtId="0" fontId="46" fillId="0" borderId="0" xfId="34" applyFont="1" applyAlignment="1">
      <alignment horizontal="center" wrapText="1"/>
    </xf>
    <xf numFmtId="0" fontId="46" fillId="0" borderId="45" xfId="34" applyFont="1" applyBorder="1" applyAlignment="1">
      <alignment horizontal="left"/>
    </xf>
    <xf numFmtId="0" fontId="24" fillId="0" borderId="0" xfId="0" applyFont="1" applyAlignment="1">
      <alignment horizontal="center" wrapText="1"/>
    </xf>
    <xf numFmtId="0" fontId="0" fillId="0" borderId="0" xfId="0" applyAlignment="1">
      <alignment horizontal="center" wrapText="1"/>
    </xf>
    <xf numFmtId="0" fontId="24" fillId="8" borderId="44" xfId="0" applyFont="1" applyFill="1" applyBorder="1" applyAlignment="1">
      <alignment horizontal="center" vertical="center"/>
    </xf>
    <xf numFmtId="0" fontId="53" fillId="0" borderId="126" xfId="0" applyFont="1" applyBorder="1" applyAlignment="1">
      <alignment horizontal="center" vertical="center" wrapText="1"/>
    </xf>
    <xf numFmtId="0" fontId="22" fillId="0" borderId="0" xfId="0" applyFont="1" applyAlignment="1">
      <alignment horizontal="center" vertical="center" wrapText="1"/>
    </xf>
    <xf numFmtId="4" fontId="24" fillId="0" borderId="32" xfId="0" applyNumberFormat="1" applyFont="1" applyBorder="1" applyAlignment="1">
      <alignment horizontal="left"/>
    </xf>
    <xf numFmtId="0" fontId="24" fillId="0" borderId="30" xfId="35" applyFont="1" applyBorder="1" applyAlignment="1">
      <alignment horizontal="center"/>
    </xf>
    <xf numFmtId="49" fontId="0" fillId="0" borderId="45" xfId="0" applyNumberFormat="1" applyBorder="1" applyAlignment="1">
      <alignment horizontal="left"/>
    </xf>
    <xf numFmtId="10" fontId="56" fillId="0" borderId="0" xfId="37" applyNumberFormat="1" applyFill="1" applyBorder="1" applyAlignment="1" applyProtection="1">
      <alignment horizontal="center"/>
    </xf>
    <xf numFmtId="14" fontId="0" fillId="6" borderId="36" xfId="0" applyNumberFormat="1" applyFill="1" applyBorder="1" applyAlignment="1" applyProtection="1">
      <alignment horizontal="center"/>
      <protection locked="0"/>
    </xf>
    <xf numFmtId="14" fontId="0" fillId="6" borderId="46" xfId="0" applyNumberFormat="1" applyFill="1" applyBorder="1" applyAlignment="1" applyProtection="1">
      <alignment horizontal="center"/>
      <protection locked="0"/>
    </xf>
    <xf numFmtId="178" fontId="56" fillId="0" borderId="13" xfId="48" applyNumberFormat="1" applyFill="1" applyBorder="1" applyAlignment="1" applyProtection="1">
      <alignment horizontal="center" shrinkToFit="1"/>
    </xf>
    <xf numFmtId="178" fontId="56" fillId="0" borderId="29" xfId="48" applyNumberFormat="1" applyFill="1" applyBorder="1" applyAlignment="1" applyProtection="1">
      <alignment horizontal="center" shrinkToFit="1"/>
    </xf>
    <xf numFmtId="177" fontId="24" fillId="8" borderId="31" xfId="0" applyNumberFormat="1" applyFont="1" applyFill="1" applyBorder="1" applyAlignment="1">
      <alignment horizontal="center" shrinkToFit="1"/>
    </xf>
    <xf numFmtId="10" fontId="56" fillId="0" borderId="78" xfId="37" applyNumberFormat="1" applyFill="1" applyBorder="1" applyAlignment="1" applyProtection="1">
      <alignment horizontal="center"/>
    </xf>
    <xf numFmtId="10" fontId="56" fillId="0" borderId="33" xfId="37" applyNumberFormat="1" applyFill="1" applyBorder="1" applyAlignment="1" applyProtection="1">
      <alignment horizontal="center"/>
    </xf>
    <xf numFmtId="0" fontId="24" fillId="0" borderId="31" xfId="0" applyFont="1" applyBorder="1" applyAlignment="1">
      <alignment horizontal="right" vertical="center"/>
    </xf>
    <xf numFmtId="178" fontId="56" fillId="0" borderId="45" xfId="48" applyNumberFormat="1" applyFill="1" applyBorder="1" applyAlignment="1" applyProtection="1">
      <alignment horizontal="center" shrinkToFit="1"/>
    </xf>
    <xf numFmtId="10" fontId="56" fillId="0" borderId="30" xfId="37" applyNumberFormat="1" applyFill="1" applyBorder="1" applyAlignment="1" applyProtection="1">
      <alignment horizontal="center"/>
    </xf>
    <xf numFmtId="10" fontId="56" fillId="0" borderId="32" xfId="37" applyNumberFormat="1" applyFill="1" applyBorder="1" applyAlignment="1" applyProtection="1">
      <alignment horizontal="center"/>
    </xf>
    <xf numFmtId="0" fontId="0" fillId="0" borderId="0" xfId="0" applyAlignment="1">
      <alignment horizontal="center"/>
    </xf>
    <xf numFmtId="10" fontId="56" fillId="0" borderId="10" xfId="37" applyNumberFormat="1" applyFill="1" applyBorder="1" applyAlignment="1" applyProtection="1">
      <alignment horizontal="center"/>
    </xf>
    <xf numFmtId="0" fontId="0" fillId="0" borderId="39" xfId="0" applyBorder="1" applyAlignment="1">
      <alignment horizontal="left"/>
    </xf>
    <xf numFmtId="0" fontId="31" fillId="0" borderId="99" xfId="0" applyFont="1" applyBorder="1" applyAlignment="1">
      <alignment horizontal="center" vertical="top" wrapText="1"/>
    </xf>
    <xf numFmtId="0" fontId="49" fillId="0" borderId="30" xfId="34" applyFont="1" applyBorder="1" applyAlignment="1">
      <alignment horizontal="center"/>
    </xf>
    <xf numFmtId="0" fontId="46" fillId="0" borderId="13" xfId="34" applyFont="1" applyBorder="1" applyAlignment="1">
      <alignment horizontal="center"/>
    </xf>
    <xf numFmtId="10" fontId="23" fillId="0" borderId="13" xfId="37" applyNumberFormat="1" applyFont="1" applyFill="1" applyBorder="1" applyAlignment="1" applyProtection="1">
      <alignment horizontal="center"/>
    </xf>
    <xf numFmtId="0" fontId="23" fillId="6" borderId="13" xfId="0" applyFont="1" applyFill="1" applyBorder="1" applyAlignment="1" applyProtection="1">
      <alignment horizontal="center"/>
      <protection locked="0"/>
    </xf>
    <xf numFmtId="0" fontId="23" fillId="0" borderId="13" xfId="0" applyFont="1" applyBorder="1" applyAlignment="1">
      <alignment horizontal="center"/>
    </xf>
    <xf numFmtId="0" fontId="0" fillId="18" borderId="39" xfId="0" applyFill="1" applyBorder="1"/>
    <xf numFmtId="0" fontId="24" fillId="8" borderId="31" xfId="0" applyFont="1" applyFill="1" applyBorder="1" applyAlignment="1">
      <alignment horizontal="center"/>
    </xf>
    <xf numFmtId="14" fontId="0" fillId="6" borderId="47" xfId="0" applyNumberFormat="1" applyFill="1" applyBorder="1" applyAlignment="1" applyProtection="1">
      <alignment horizontal="center"/>
      <protection locked="0"/>
    </xf>
    <xf numFmtId="0" fontId="0" fillId="6" borderId="0" xfId="33" applyFont="1" applyFill="1" applyAlignment="1" applyProtection="1">
      <alignment horizontal="left" vertical="top"/>
      <protection locked="0"/>
    </xf>
    <xf numFmtId="0" fontId="0" fillId="0" borderId="0" xfId="0" applyAlignment="1">
      <alignment horizontal="left"/>
    </xf>
    <xf numFmtId="0" fontId="17" fillId="0" borderId="29" xfId="33" applyFont="1" applyBorder="1" applyAlignment="1">
      <alignment horizontal="center" vertical="center"/>
    </xf>
    <xf numFmtId="0" fontId="0" fillId="0" borderId="0" xfId="0" applyAlignment="1">
      <alignment horizontal="left" wrapText="1"/>
    </xf>
    <xf numFmtId="172" fontId="24" fillId="8" borderId="13" xfId="48" applyFont="1" applyFill="1" applyBorder="1" applyAlignment="1" applyProtection="1">
      <alignment horizontal="center" vertical="center" shrinkToFit="1"/>
    </xf>
    <xf numFmtId="0" fontId="30" fillId="0" borderId="30" xfId="0" applyFont="1" applyBorder="1" applyAlignment="1">
      <alignment horizontal="left" vertical="center"/>
    </xf>
    <xf numFmtId="0" fontId="0" fillId="0" borderId="30" xfId="0" applyBorder="1" applyAlignment="1">
      <alignment horizontal="left"/>
    </xf>
    <xf numFmtId="0" fontId="0" fillId="6" borderId="13" xfId="0" applyFill="1" applyBorder="1" applyAlignment="1" applyProtection="1">
      <alignment horizontal="left" vertical="top"/>
      <protection locked="0"/>
    </xf>
    <xf numFmtId="0" fontId="24" fillId="17" borderId="45" xfId="0" applyFont="1" applyFill="1" applyBorder="1" applyAlignment="1">
      <alignment horizontal="left" vertical="center" wrapText="1"/>
    </xf>
    <xf numFmtId="0" fontId="23" fillId="6" borderId="32" xfId="0" applyFont="1" applyFill="1" applyBorder="1" applyAlignment="1">
      <alignment horizontal="left"/>
    </xf>
    <xf numFmtId="0" fontId="31" fillId="0" borderId="0" xfId="0" applyFont="1" applyAlignment="1">
      <alignment horizontal="center" vertical="center" wrapText="1"/>
    </xf>
    <xf numFmtId="0" fontId="0" fillId="0" borderId="13" xfId="0" applyBorder="1" applyAlignment="1">
      <alignment horizontal="center"/>
    </xf>
    <xf numFmtId="0" fontId="24" fillId="0" borderId="32" xfId="35" applyFont="1" applyBorder="1" applyAlignment="1">
      <alignment horizontal="center"/>
    </xf>
    <xf numFmtId="0" fontId="24" fillId="0" borderId="0" xfId="35" applyFont="1" applyAlignment="1">
      <alignment horizontal="center"/>
    </xf>
    <xf numFmtId="0" fontId="24" fillId="0" borderId="12" xfId="35" applyFont="1" applyBorder="1" applyAlignment="1">
      <alignment horizontal="center"/>
    </xf>
    <xf numFmtId="0" fontId="30" fillId="6" borderId="32" xfId="0" applyFont="1" applyFill="1" applyBorder="1" applyAlignment="1" applyProtection="1">
      <alignment horizontal="left" vertical="top" wrapText="1"/>
      <protection locked="0"/>
    </xf>
    <xf numFmtId="0" fontId="30" fillId="6" borderId="0" xfId="0" applyFont="1" applyFill="1" applyAlignment="1" applyProtection="1">
      <alignment horizontal="left" vertical="top" wrapText="1"/>
      <protection locked="0"/>
    </xf>
    <xf numFmtId="0" fontId="30" fillId="6" borderId="12" xfId="0" applyFont="1" applyFill="1" applyBorder="1" applyAlignment="1" applyProtection="1">
      <alignment horizontal="left" vertical="top" wrapText="1"/>
      <protection locked="0"/>
    </xf>
    <xf numFmtId="0" fontId="30" fillId="6" borderId="45" xfId="0" applyFont="1" applyFill="1" applyBorder="1" applyAlignment="1" applyProtection="1">
      <alignment horizontal="left" vertical="top" wrapText="1"/>
      <protection locked="0"/>
    </xf>
    <xf numFmtId="0" fontId="30" fillId="6" borderId="29" xfId="0" applyFont="1" applyFill="1" applyBorder="1" applyAlignment="1" applyProtection="1">
      <alignment horizontal="left" vertical="top" wrapText="1"/>
      <protection locked="0"/>
    </xf>
    <xf numFmtId="0" fontId="30" fillId="6" borderId="28" xfId="0" applyFont="1" applyFill="1" applyBorder="1" applyAlignment="1" applyProtection="1">
      <alignment horizontal="left" vertical="top" wrapText="1"/>
      <protection locked="0"/>
    </xf>
    <xf numFmtId="0" fontId="0" fillId="8" borderId="80" xfId="0" applyFill="1" applyBorder="1" applyAlignment="1">
      <alignment horizontal="center" vertical="center"/>
    </xf>
    <xf numFmtId="0" fontId="0" fillId="8" borderId="63" xfId="0" applyFill="1" applyBorder="1" applyAlignment="1">
      <alignment horizontal="center" vertical="center"/>
    </xf>
    <xf numFmtId="10" fontId="24" fillId="8" borderId="31" xfId="0" applyNumberFormat="1" applyFont="1" applyFill="1" applyBorder="1" applyAlignment="1">
      <alignment horizontal="center" vertical="center"/>
    </xf>
    <xf numFmtId="0" fontId="0" fillId="0" borderId="41" xfId="0" applyBorder="1" applyAlignment="1">
      <alignment horizontal="center" vertical="center"/>
    </xf>
    <xf numFmtId="0" fontId="0" fillId="0" borderId="65" xfId="0" applyBorder="1" applyAlignment="1">
      <alignment horizontal="center" vertical="center"/>
    </xf>
    <xf numFmtId="0" fontId="0" fillId="8" borderId="41" xfId="0" applyFill="1" applyBorder="1" applyAlignment="1">
      <alignment horizontal="center" vertical="center"/>
    </xf>
    <xf numFmtId="0" fontId="0" fillId="8" borderId="65" xfId="0" applyFill="1" applyBorder="1" applyAlignment="1">
      <alignment horizontal="center" vertical="center"/>
    </xf>
    <xf numFmtId="0" fontId="0" fillId="0" borderId="83" xfId="0" applyBorder="1" applyAlignment="1">
      <alignment horizontal="center" vertical="center"/>
    </xf>
    <xf numFmtId="0" fontId="0" fillId="0" borderId="69" xfId="0" applyBorder="1" applyAlignment="1">
      <alignment horizontal="center" vertical="center"/>
    </xf>
    <xf numFmtId="0" fontId="17" fillId="8" borderId="31" xfId="0" applyFont="1" applyFill="1" applyBorder="1" applyAlignment="1">
      <alignment horizontal="center" vertical="center"/>
    </xf>
    <xf numFmtId="0" fontId="17" fillId="8" borderId="44" xfId="0" applyFont="1" applyFill="1" applyBorder="1" applyAlignment="1">
      <alignment horizontal="center" vertical="center"/>
    </xf>
    <xf numFmtId="0" fontId="8" fillId="0" borderId="10" xfId="0" applyFont="1" applyBorder="1" applyAlignment="1">
      <alignment horizontal="right"/>
    </xf>
    <xf numFmtId="0" fontId="24" fillId="0" borderId="31" xfId="0" applyFont="1" applyBorder="1" applyAlignment="1">
      <alignment horizontal="center"/>
    </xf>
    <xf numFmtId="0" fontId="24" fillId="0" borderId="60" xfId="0" applyFont="1" applyBorder="1" applyAlignment="1">
      <alignment horizontal="center"/>
    </xf>
    <xf numFmtId="0" fontId="24" fillId="0" borderId="31" xfId="0" applyFont="1" applyBorder="1" applyAlignment="1">
      <alignment horizontal="center" vertical="center"/>
    </xf>
    <xf numFmtId="49" fontId="0" fillId="0" borderId="13" xfId="0" applyNumberFormat="1" applyBorder="1" applyAlignment="1">
      <alignment horizontal="left"/>
    </xf>
    <xf numFmtId="0" fontId="24" fillId="0" borderId="33" xfId="0" applyFont="1" applyBorder="1" applyAlignment="1">
      <alignment horizontal="center"/>
    </xf>
    <xf numFmtId="0" fontId="53" fillId="0" borderId="31" xfId="0" applyFont="1" applyBorder="1" applyAlignment="1">
      <alignment horizontal="center" vertical="center" wrapText="1"/>
    </xf>
    <xf numFmtId="4" fontId="24" fillId="0" borderId="30" xfId="0" applyNumberFormat="1" applyFont="1" applyBorder="1" applyAlignment="1">
      <alignment horizontal="left"/>
    </xf>
    <xf numFmtId="0" fontId="0" fillId="0" borderId="0" xfId="33" applyFont="1" applyAlignment="1">
      <alignment horizontal="left" vertical="top"/>
    </xf>
    <xf numFmtId="0" fontId="0" fillId="0" borderId="0" xfId="0"/>
    <xf numFmtId="0" fontId="0" fillId="0" borderId="38" xfId="33" applyFont="1" applyBorder="1" applyAlignment="1">
      <alignment horizontal="right"/>
    </xf>
    <xf numFmtId="181" fontId="24" fillId="0" borderId="40" xfId="48" applyNumberFormat="1" applyFont="1" applyFill="1" applyBorder="1" applyAlignment="1" applyProtection="1">
      <alignment vertical="top" shrinkToFit="1"/>
    </xf>
    <xf numFmtId="0" fontId="0" fillId="0" borderId="70" xfId="33" applyFont="1" applyBorder="1" applyAlignment="1">
      <alignment horizontal="right"/>
    </xf>
    <xf numFmtId="10" fontId="24" fillId="0" borderId="71" xfId="37" applyNumberFormat="1" applyFont="1" applyFill="1" applyBorder="1" applyAlignment="1" applyProtection="1">
      <alignment horizontal="right" vertical="top" shrinkToFit="1"/>
    </xf>
    <xf numFmtId="0" fontId="0" fillId="6" borderId="0" xfId="33" applyFont="1" applyFill="1" applyAlignment="1" applyProtection="1">
      <alignment horizontal="left" vertical="top" wrapText="1"/>
      <protection locked="0"/>
    </xf>
    <xf numFmtId="0" fontId="0" fillId="0" borderId="51" xfId="33" applyFont="1" applyBorder="1" applyAlignment="1">
      <alignment horizontal="center"/>
    </xf>
    <xf numFmtId="0" fontId="0" fillId="0" borderId="0" xfId="33" applyFont="1" applyAlignment="1">
      <alignment horizontal="left" wrapText="1"/>
    </xf>
    <xf numFmtId="0" fontId="0" fillId="0" borderId="0" xfId="33" applyFont="1" applyAlignment="1">
      <alignment vertical="center"/>
    </xf>
    <xf numFmtId="0" fontId="0" fillId="0" borderId="0" xfId="33" applyFont="1" applyAlignment="1">
      <alignment horizontal="left"/>
    </xf>
    <xf numFmtId="0" fontId="0" fillId="0" borderId="0" xfId="33" applyFont="1" applyAlignment="1">
      <alignment horizontal="left" vertical="top" wrapText="1" shrinkToFit="1"/>
    </xf>
    <xf numFmtId="0" fontId="0" fillId="0" borderId="0" xfId="33" applyFont="1" applyAlignment="1">
      <alignment horizontal="left" vertical="top" wrapText="1"/>
    </xf>
    <xf numFmtId="0" fontId="0" fillId="0" borderId="52" xfId="33" applyFont="1" applyBorder="1" applyAlignment="1">
      <alignment horizontal="center" vertical="center" wrapText="1"/>
    </xf>
    <xf numFmtId="0" fontId="0" fillId="0" borderId="64" xfId="33" applyFont="1" applyBorder="1" applyAlignment="1">
      <alignment horizontal="center" vertical="center" wrapText="1"/>
    </xf>
    <xf numFmtId="49" fontId="0" fillId="6" borderId="0" xfId="33" applyNumberFormat="1" applyFont="1" applyFill="1" applyAlignment="1" applyProtection="1">
      <alignment horizontal="left"/>
      <protection locked="0"/>
    </xf>
    <xf numFmtId="169" fontId="0" fillId="0" borderId="0" xfId="33" applyNumberFormat="1" applyFont="1" applyAlignment="1">
      <alignment horizontal="right"/>
    </xf>
    <xf numFmtId="0" fontId="0" fillId="0" borderId="0" xfId="33" applyFont="1" applyAlignment="1">
      <alignment horizontal="center"/>
    </xf>
  </cellXfs>
  <cellStyles count="51">
    <cellStyle name="20% - Ênfase1" xfId="1" builtinId="30" customBuiltin="1"/>
    <cellStyle name="20% - Ênfase2" xfId="2" builtinId="34" customBuiltin="1"/>
    <cellStyle name="20% - Ênfase3" xfId="3" builtinId="38" customBuiltin="1"/>
    <cellStyle name="20% - Ênfase4" xfId="4" builtinId="42" customBuiltin="1"/>
    <cellStyle name="20% - Ênfase5" xfId="5" builtinId="46" customBuiltin="1"/>
    <cellStyle name="20% - Ênfase6" xfId="6" builtinId="50" customBuiltin="1"/>
    <cellStyle name="40% - Ênfase1" xfId="7" builtinId="31" customBuiltin="1"/>
    <cellStyle name="40% - Ênfase2" xfId="8" builtinId="35" customBuiltin="1"/>
    <cellStyle name="40% - Ênfase3" xfId="9" builtinId="39" customBuiltin="1"/>
    <cellStyle name="40% - Ênfase4" xfId="10" builtinId="43" customBuiltin="1"/>
    <cellStyle name="40% - Ênfase5" xfId="11" builtinId="47" customBuiltin="1"/>
    <cellStyle name="40% - Ênfase6" xfId="12" builtinId="51" customBuiltin="1"/>
    <cellStyle name="60% - Ênfase1" xfId="13" builtinId="32" customBuiltin="1"/>
    <cellStyle name="60% - Ênfase2" xfId="14" builtinId="36" customBuiltin="1"/>
    <cellStyle name="60% - Ênfase3" xfId="15" builtinId="40" customBuiltin="1"/>
    <cellStyle name="60% - Ênfase4" xfId="16" builtinId="44" customBuiltin="1"/>
    <cellStyle name="60% - Ênfase5" xfId="17" builtinId="48" customBuiltin="1"/>
    <cellStyle name="60% - Ênfase6" xfId="18" builtinId="52" customBuiltin="1"/>
    <cellStyle name="Bom" xfId="19" builtinId="26" customBuiltin="1"/>
    <cellStyle name="Cálculo" xfId="20" builtinId="22" customBuiltin="1"/>
    <cellStyle name="Célula de Verificação" xfId="21" builtinId="23" customBuiltin="1"/>
    <cellStyle name="Célula Vinculada" xfId="22" builtinId="24" customBuiltin="1"/>
    <cellStyle name="Ênfase1" xfId="23" builtinId="29" customBuiltin="1"/>
    <cellStyle name="Ênfase2" xfId="24" builtinId="33" customBuiltin="1"/>
    <cellStyle name="Ênfase3" xfId="25" builtinId="37" customBuiltin="1"/>
    <cellStyle name="Ênfase4" xfId="26" builtinId="41" customBuiltin="1"/>
    <cellStyle name="Ênfase5" xfId="27" builtinId="45" customBuiltin="1"/>
    <cellStyle name="Ênfase6" xfId="28" builtinId="49" customBuiltin="1"/>
    <cellStyle name="Entrada" xfId="29" builtinId="20" customBuiltin="1"/>
    <cellStyle name="Hiperlink" xfId="30" builtinId="8"/>
    <cellStyle name="Moeda" xfId="31" builtinId="4"/>
    <cellStyle name="Moeda_Composicao BDI v2.1" xfId="32"/>
    <cellStyle name="Normal" xfId="0" builtinId="0"/>
    <cellStyle name="Normal 2" xfId="33"/>
    <cellStyle name="Normal 3" xfId="34"/>
    <cellStyle name="Normal 4" xfId="50"/>
    <cellStyle name="Normal_FICHA DE VERIFICAÇÃO PRELIMINAR - Plano R" xfId="35"/>
    <cellStyle name="Nota" xfId="36" builtinId="10" customBuiltin="1"/>
    <cellStyle name="Porcentagem" xfId="37" builtinId="5"/>
    <cellStyle name="Porcentagem 2" xfId="38"/>
    <cellStyle name="Saída" xfId="39" builtinId="21" customBuiltin="1"/>
    <cellStyle name="Texto de Aviso" xfId="40" builtinId="11" customBuiltin="1"/>
    <cellStyle name="Texto Explicativo" xfId="41" builtinId="53" customBuiltin="1"/>
    <cellStyle name="Título 1" xfId="42" builtinId="16" customBuiltin="1"/>
    <cellStyle name="Título 2" xfId="43" builtinId="17" customBuiltin="1"/>
    <cellStyle name="Título 3" xfId="44" builtinId="18" customBuiltin="1"/>
    <cellStyle name="Título 4" xfId="45" builtinId="19" customBuiltin="1"/>
    <cellStyle name="Título 5" xfId="46"/>
    <cellStyle name="Total" xfId="47" builtinId="25" customBuiltin="1"/>
    <cellStyle name="Vírgula" xfId="48" builtinId="3"/>
    <cellStyle name="Vírgula 2" xfId="49"/>
  </cellStyles>
  <dxfs count="323">
    <dxf>
      <fill>
        <patternFill>
          <bgColor rgb="FFFF0000"/>
        </patternFill>
      </fill>
    </dxf>
    <dxf>
      <font>
        <b/>
        <i val="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b/>
        <i val="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b/>
        <i val="0"/>
      </font>
    </dxf>
    <dxf>
      <font>
        <b/>
        <i val="0"/>
        <condense val="0"/>
        <extend val="0"/>
        <color indexed="9"/>
      </font>
      <fill>
        <patternFill patternType="solid">
          <fgColor indexed="60"/>
          <bgColor indexed="10"/>
        </patternFill>
      </fill>
    </dxf>
    <dxf>
      <font>
        <b/>
        <i val="0"/>
        <condense val="0"/>
        <extend val="0"/>
        <color indexed="9"/>
      </font>
      <fill>
        <patternFill patternType="solid">
          <fgColor indexed="60"/>
          <bgColor indexed="10"/>
        </patternFill>
      </fill>
    </dxf>
    <dxf>
      <font>
        <b val="0"/>
        <condense val="0"/>
        <extend val="0"/>
        <color indexed="44"/>
      </font>
      <fill>
        <patternFill patternType="solid">
          <fgColor indexed="22"/>
          <bgColor indexed="44"/>
        </patternFill>
      </fill>
    </dxf>
    <dxf>
      <font>
        <b/>
        <i val="0"/>
        <condense val="0"/>
        <extend val="0"/>
        <color indexed="9"/>
      </font>
      <fill>
        <patternFill patternType="solid">
          <fgColor indexed="60"/>
          <bgColor indexed="10"/>
        </patternFill>
      </fill>
    </dxf>
    <dxf>
      <font>
        <b val="0"/>
        <condense val="0"/>
        <extend val="0"/>
        <color indexed="44"/>
      </font>
      <fill>
        <patternFill patternType="solid">
          <fgColor indexed="22"/>
          <bgColor indexed="44"/>
        </patternFill>
      </fill>
    </dxf>
    <dxf>
      <font>
        <b/>
        <i val="0"/>
        <condense val="0"/>
        <extend val="0"/>
        <color indexed="9"/>
      </font>
      <fill>
        <patternFill patternType="solid">
          <fgColor indexed="60"/>
          <bgColor indexed="10"/>
        </patternFill>
      </fill>
    </dxf>
    <dxf>
      <font>
        <b/>
        <i val="0"/>
        <condense val="0"/>
        <extend val="0"/>
        <color indexed="9"/>
      </font>
      <fill>
        <patternFill patternType="solid">
          <fgColor indexed="60"/>
          <bgColor indexed="10"/>
        </patternFill>
      </fill>
    </dxf>
    <dxf>
      <font>
        <b val="0"/>
        <condense val="0"/>
        <extend val="0"/>
        <color indexed="9"/>
      </font>
      <fill>
        <patternFill patternType="none">
          <fgColor indexed="64"/>
          <bgColor indexed="65"/>
        </patternFill>
      </fill>
    </dxf>
    <dxf>
      <font>
        <b val="0"/>
        <condense val="0"/>
        <extend val="0"/>
        <color indexed="44"/>
      </font>
      <fill>
        <patternFill patternType="solid">
          <fgColor indexed="22"/>
          <bgColor indexed="44"/>
        </patternFill>
      </fill>
    </dxf>
    <dxf>
      <font>
        <b val="0"/>
        <condense val="0"/>
        <extend val="0"/>
        <color indexed="22"/>
      </font>
      <fill>
        <patternFill patternType="solid">
          <fgColor indexed="44"/>
          <bgColor indexed="22"/>
        </patternFill>
      </fill>
    </dxf>
    <dxf>
      <font>
        <b/>
        <i val="0"/>
        <condense val="0"/>
        <extend val="0"/>
        <color indexed="55"/>
      </font>
      <fill>
        <patternFill patternType="solid">
          <fgColor indexed="46"/>
          <bgColor indexed="55"/>
        </patternFill>
      </fill>
      <border>
        <top style="thin">
          <color indexed="64"/>
        </top>
      </border>
    </dxf>
    <dxf>
      <font>
        <b/>
        <i val="0"/>
        <condense val="0"/>
        <extend val="0"/>
      </font>
      <fill>
        <patternFill patternType="solid">
          <fgColor indexed="44"/>
          <bgColor indexed="22"/>
        </patternFill>
      </fill>
    </dxf>
    <dxf>
      <font>
        <b/>
        <i val="0"/>
        <condense val="0"/>
        <extend val="0"/>
      </font>
      <fill>
        <patternFill patternType="solid">
          <fgColor indexed="46"/>
          <bgColor indexed="55"/>
        </patternFill>
      </fill>
      <border>
        <top style="thin">
          <color indexed="64"/>
        </top>
      </border>
    </dxf>
    <dxf>
      <font>
        <b/>
        <i val="0"/>
        <condense val="0"/>
        <extend val="0"/>
      </font>
      <fill>
        <patternFill patternType="solid">
          <fgColor indexed="13"/>
          <bgColor indexed="51"/>
        </patternFill>
      </fill>
    </dxf>
    <dxf>
      <font>
        <b val="0"/>
        <condense val="0"/>
        <extend val="0"/>
        <color indexed="22"/>
      </font>
      <fill>
        <patternFill patternType="solid">
          <fgColor indexed="44"/>
          <bgColor indexed="22"/>
        </patternFill>
      </fill>
    </dxf>
    <dxf>
      <font>
        <b/>
        <i val="0"/>
        <condense val="0"/>
        <extend val="0"/>
        <color indexed="55"/>
      </font>
      <fill>
        <patternFill patternType="solid">
          <fgColor indexed="46"/>
          <bgColor indexed="55"/>
        </patternFill>
      </fill>
      <border>
        <top style="thin">
          <color indexed="64"/>
        </top>
      </border>
    </dxf>
    <dxf>
      <font>
        <b/>
        <i val="0"/>
        <condense val="0"/>
        <extend val="0"/>
      </font>
      <fill>
        <patternFill patternType="solid">
          <fgColor indexed="44"/>
          <bgColor indexed="22"/>
        </patternFill>
      </fill>
    </dxf>
    <dxf>
      <font>
        <b/>
        <i val="0"/>
        <condense val="0"/>
        <extend val="0"/>
      </font>
      <fill>
        <patternFill patternType="solid">
          <fgColor indexed="46"/>
          <bgColor indexed="55"/>
        </patternFill>
      </fill>
      <border>
        <top style="thin">
          <color indexed="64"/>
        </top>
      </border>
    </dxf>
    <dxf>
      <font>
        <b/>
        <i val="0"/>
        <condense val="0"/>
        <extend val="0"/>
      </font>
      <fill>
        <patternFill patternType="solid">
          <fgColor indexed="13"/>
          <bgColor indexed="51"/>
        </patternFill>
      </fill>
    </dxf>
    <dxf>
      <font>
        <b val="0"/>
        <condense val="0"/>
        <extend val="0"/>
        <color indexed="22"/>
      </font>
      <fill>
        <patternFill patternType="solid">
          <fgColor indexed="44"/>
          <bgColor indexed="22"/>
        </patternFill>
      </fill>
    </dxf>
    <dxf>
      <font>
        <b/>
        <i val="0"/>
        <condense val="0"/>
        <extend val="0"/>
        <color indexed="55"/>
      </font>
      <fill>
        <patternFill patternType="solid">
          <fgColor indexed="46"/>
          <bgColor indexed="55"/>
        </patternFill>
      </fill>
      <border>
        <top style="thin">
          <color indexed="64"/>
        </top>
      </border>
    </dxf>
    <dxf>
      <font>
        <b/>
        <i val="0"/>
        <condense val="0"/>
        <extend val="0"/>
      </font>
      <fill>
        <patternFill patternType="solid">
          <fgColor indexed="44"/>
          <bgColor indexed="22"/>
        </patternFill>
      </fill>
    </dxf>
    <dxf>
      <font>
        <b/>
        <i val="0"/>
        <condense val="0"/>
        <extend val="0"/>
      </font>
      <fill>
        <patternFill patternType="solid">
          <fgColor indexed="46"/>
          <bgColor indexed="55"/>
        </patternFill>
      </fill>
      <border>
        <top style="thin">
          <color indexed="64"/>
        </top>
      </border>
    </dxf>
    <dxf>
      <font>
        <b/>
        <i val="0"/>
        <condense val="0"/>
        <extend val="0"/>
      </font>
      <fill>
        <patternFill patternType="solid">
          <fgColor indexed="13"/>
          <bgColor indexed="51"/>
        </patternFill>
      </fill>
    </dxf>
    <dxf>
      <font>
        <color rgb="FFFF0000"/>
      </font>
    </dxf>
    <dxf>
      <fill>
        <patternFill patternType="solid">
          <fgColor indexed="13"/>
          <bgColor indexed="51"/>
        </patternFill>
      </fill>
    </dxf>
    <dxf>
      <font>
        <b/>
        <i val="0"/>
        <condense val="0"/>
        <extend val="0"/>
        <color indexed="9"/>
      </font>
      <fill>
        <patternFill patternType="solid">
          <fgColor indexed="60"/>
          <bgColor indexed="10"/>
        </patternFill>
      </fill>
    </dxf>
    <dxf>
      <font>
        <b val="0"/>
        <condense val="0"/>
        <extend val="0"/>
        <color indexed="9"/>
      </font>
    </dxf>
    <dxf>
      <font>
        <b/>
        <i val="0"/>
        <condense val="0"/>
        <extend val="0"/>
        <color indexed="10"/>
      </font>
    </dxf>
    <dxf>
      <font>
        <b val="0"/>
        <condense val="0"/>
        <extend val="0"/>
        <color indexed="22"/>
      </font>
      <fill>
        <patternFill patternType="solid">
          <fgColor indexed="44"/>
          <bgColor indexed="22"/>
        </patternFill>
      </fill>
    </dxf>
    <dxf>
      <font>
        <b/>
        <i val="0"/>
        <condense val="0"/>
        <extend val="0"/>
        <color indexed="55"/>
      </font>
      <fill>
        <patternFill patternType="solid">
          <fgColor indexed="46"/>
          <bgColor indexed="55"/>
        </patternFill>
      </fill>
      <border>
        <top style="thin">
          <color indexed="64"/>
        </top>
      </border>
    </dxf>
    <dxf>
      <font>
        <b/>
        <i val="0"/>
        <condense val="0"/>
        <extend val="0"/>
      </font>
      <fill>
        <patternFill patternType="solid">
          <fgColor indexed="44"/>
          <bgColor indexed="22"/>
        </patternFill>
      </fill>
    </dxf>
    <dxf>
      <font>
        <b/>
        <i val="0"/>
        <condense val="0"/>
        <extend val="0"/>
      </font>
      <fill>
        <patternFill patternType="solid">
          <fgColor indexed="46"/>
          <bgColor indexed="55"/>
        </patternFill>
      </fill>
      <border>
        <top style="thin">
          <color indexed="64"/>
        </top>
      </border>
    </dxf>
    <dxf>
      <font>
        <b/>
        <i val="0"/>
        <condense val="0"/>
        <extend val="0"/>
      </font>
      <fill>
        <patternFill patternType="solid">
          <fgColor indexed="13"/>
          <bgColor indexed="51"/>
        </patternFill>
      </fill>
    </dxf>
    <dxf>
      <font>
        <b/>
        <i val="0"/>
        <condense val="0"/>
        <extend val="0"/>
      </font>
      <fill>
        <patternFill patternType="solid">
          <fgColor indexed="21"/>
          <bgColor indexed="57"/>
        </patternFill>
      </fill>
    </dxf>
    <dxf>
      <font>
        <b val="0"/>
        <condense val="0"/>
        <extend val="0"/>
        <color indexed="22"/>
      </font>
      <fill>
        <patternFill patternType="solid">
          <fgColor indexed="44"/>
          <bgColor indexed="22"/>
        </patternFill>
      </fill>
    </dxf>
    <dxf>
      <font>
        <b/>
        <i val="0"/>
        <condense val="0"/>
        <extend val="0"/>
      </font>
      <fill>
        <patternFill patternType="solid">
          <fgColor indexed="21"/>
          <bgColor indexed="57"/>
        </patternFill>
      </fill>
    </dxf>
    <dxf>
      <font>
        <b val="0"/>
        <condense val="0"/>
        <extend val="0"/>
        <color indexed="22"/>
      </font>
      <fill>
        <patternFill patternType="solid">
          <fgColor indexed="44"/>
          <bgColor indexed="22"/>
        </patternFill>
      </fill>
    </dxf>
    <dxf>
      <font>
        <b/>
        <i val="0"/>
        <condense val="0"/>
        <extend val="0"/>
      </font>
      <fill>
        <patternFill patternType="solid">
          <fgColor indexed="21"/>
          <bgColor indexed="57"/>
        </patternFill>
      </fill>
    </dxf>
    <dxf>
      <font>
        <b val="0"/>
        <condense val="0"/>
        <extend val="0"/>
        <color indexed="22"/>
      </font>
      <fill>
        <patternFill patternType="solid">
          <fgColor indexed="44"/>
          <bgColor indexed="22"/>
        </patternFill>
      </fill>
    </dxf>
    <dxf>
      <font>
        <b/>
        <i val="0"/>
        <condense val="0"/>
        <extend val="0"/>
      </font>
      <fill>
        <patternFill patternType="solid">
          <fgColor indexed="21"/>
          <bgColor indexed="57"/>
        </patternFill>
      </fill>
    </dxf>
    <dxf>
      <font>
        <b val="0"/>
        <condense val="0"/>
        <extend val="0"/>
        <color indexed="22"/>
      </font>
      <fill>
        <patternFill patternType="solid">
          <fgColor indexed="44"/>
          <bgColor indexed="22"/>
        </patternFill>
      </fill>
    </dxf>
    <dxf>
      <font>
        <b/>
        <i val="0"/>
        <condense val="0"/>
        <extend val="0"/>
      </font>
      <fill>
        <patternFill patternType="solid">
          <fgColor indexed="21"/>
          <bgColor indexed="57"/>
        </patternFill>
      </fill>
    </dxf>
    <dxf>
      <font>
        <b val="0"/>
        <condense val="0"/>
        <extend val="0"/>
        <color indexed="22"/>
      </font>
      <fill>
        <patternFill patternType="solid">
          <fgColor indexed="44"/>
          <bgColor indexed="22"/>
        </patternFill>
      </fill>
    </dxf>
    <dxf>
      <font>
        <b/>
        <i val="0"/>
        <condense val="0"/>
        <extend val="0"/>
      </font>
      <fill>
        <patternFill patternType="solid">
          <fgColor indexed="21"/>
          <bgColor indexed="57"/>
        </patternFill>
      </fill>
    </dxf>
    <dxf>
      <font>
        <b val="0"/>
        <condense val="0"/>
        <extend val="0"/>
        <color indexed="22"/>
      </font>
      <fill>
        <patternFill patternType="solid">
          <fgColor indexed="44"/>
          <bgColor indexed="22"/>
        </patternFill>
      </fill>
    </dxf>
    <dxf>
      <font>
        <b/>
        <i val="0"/>
        <condense val="0"/>
        <extend val="0"/>
      </font>
      <fill>
        <patternFill patternType="solid">
          <fgColor indexed="21"/>
          <bgColor indexed="57"/>
        </patternFill>
      </fill>
    </dxf>
    <dxf>
      <font>
        <b val="0"/>
        <condense val="0"/>
        <extend val="0"/>
        <color indexed="22"/>
      </font>
      <fill>
        <patternFill patternType="solid">
          <fgColor indexed="44"/>
          <bgColor indexed="22"/>
        </patternFill>
      </fill>
    </dxf>
    <dxf>
      <font>
        <b/>
        <i val="0"/>
        <condense val="0"/>
        <extend val="0"/>
      </font>
      <fill>
        <patternFill patternType="solid">
          <fgColor indexed="21"/>
          <bgColor indexed="57"/>
        </patternFill>
      </fill>
    </dxf>
    <dxf>
      <font>
        <b val="0"/>
        <condense val="0"/>
        <extend val="0"/>
        <color indexed="22"/>
      </font>
      <fill>
        <patternFill patternType="solid">
          <fgColor indexed="44"/>
          <bgColor indexed="22"/>
        </patternFill>
      </fill>
    </dxf>
    <dxf>
      <font>
        <b/>
        <i val="0"/>
        <condense val="0"/>
        <extend val="0"/>
      </font>
      <fill>
        <patternFill patternType="solid">
          <fgColor indexed="21"/>
          <bgColor indexed="57"/>
        </patternFill>
      </fill>
    </dxf>
    <dxf>
      <font>
        <b val="0"/>
        <condense val="0"/>
        <extend val="0"/>
        <color indexed="22"/>
      </font>
      <fill>
        <patternFill patternType="solid">
          <fgColor indexed="44"/>
          <bgColor indexed="22"/>
        </patternFill>
      </fill>
    </dxf>
    <dxf>
      <font>
        <b/>
        <i val="0"/>
        <condense val="0"/>
        <extend val="0"/>
      </font>
      <fill>
        <patternFill patternType="solid">
          <fgColor indexed="21"/>
          <bgColor indexed="57"/>
        </patternFill>
      </fill>
    </dxf>
    <dxf>
      <font>
        <b val="0"/>
        <condense val="0"/>
        <extend val="0"/>
        <color indexed="22"/>
      </font>
      <fill>
        <patternFill patternType="solid">
          <fgColor indexed="44"/>
          <bgColor indexed="22"/>
        </patternFill>
      </fill>
    </dxf>
    <dxf>
      <font>
        <b/>
        <i val="0"/>
        <condense val="0"/>
        <extend val="0"/>
      </font>
      <fill>
        <patternFill patternType="solid">
          <fgColor indexed="21"/>
          <bgColor indexed="57"/>
        </patternFill>
      </fill>
    </dxf>
    <dxf>
      <font>
        <b val="0"/>
        <condense val="0"/>
        <extend val="0"/>
        <color indexed="22"/>
      </font>
      <fill>
        <patternFill patternType="solid">
          <fgColor indexed="44"/>
          <bgColor indexed="22"/>
        </patternFill>
      </fill>
    </dxf>
    <dxf>
      <font>
        <b/>
        <i val="0"/>
        <condense val="0"/>
        <extend val="0"/>
      </font>
      <fill>
        <patternFill patternType="solid">
          <fgColor indexed="21"/>
          <bgColor indexed="57"/>
        </patternFill>
      </fill>
    </dxf>
    <dxf>
      <font>
        <b val="0"/>
        <condense val="0"/>
        <extend val="0"/>
        <color indexed="22"/>
      </font>
      <fill>
        <patternFill patternType="solid">
          <fgColor indexed="44"/>
          <bgColor indexed="22"/>
        </patternFill>
      </fill>
    </dxf>
    <dxf>
      <font>
        <color rgb="FFFF0000"/>
      </font>
    </dxf>
    <dxf>
      <font>
        <b/>
        <i val="0"/>
        <color rgb="FFFF0000"/>
      </font>
    </dxf>
    <dxf>
      <font>
        <color theme="0" tint="-0.14996795556505021"/>
      </font>
    </dxf>
    <dxf>
      <font>
        <b/>
        <i val="0"/>
        <condense val="0"/>
        <extend val="0"/>
      </font>
      <fill>
        <patternFill patternType="solid">
          <fgColor indexed="21"/>
          <bgColor indexed="57"/>
        </patternFill>
      </fill>
    </dxf>
    <dxf>
      <font>
        <color theme="0"/>
      </font>
    </dxf>
    <dxf>
      <font>
        <b val="0"/>
        <condense val="0"/>
        <extend val="0"/>
        <color indexed="9"/>
      </font>
      <fill>
        <patternFill patternType="none">
          <fgColor indexed="64"/>
          <bgColor indexed="65"/>
        </patternFill>
      </fill>
      <border>
        <left/>
        <right/>
        <top/>
        <bottom/>
      </border>
    </dxf>
    <dxf>
      <font>
        <b val="0"/>
        <condense val="0"/>
        <extend val="0"/>
        <color indexed="10"/>
      </font>
    </dxf>
    <dxf>
      <font>
        <b val="0"/>
        <condense val="0"/>
        <extend val="0"/>
        <color indexed="9"/>
      </font>
      <fill>
        <patternFill patternType="none">
          <fgColor indexed="64"/>
          <bgColor indexed="65"/>
        </patternFill>
      </fill>
      <border>
        <left/>
        <right/>
        <top/>
        <bottom/>
      </border>
    </dxf>
    <dxf>
      <font>
        <b val="0"/>
        <condense val="0"/>
        <extend val="0"/>
        <color indexed="9"/>
      </font>
      <border>
        <left/>
        <right style="thin">
          <color indexed="64"/>
        </right>
      </border>
    </dxf>
    <dxf>
      <font>
        <b/>
        <i val="0"/>
        <condense val="0"/>
        <extend val="0"/>
      </font>
      <fill>
        <patternFill patternType="solid">
          <fgColor indexed="21"/>
          <bgColor indexed="57"/>
        </patternFill>
      </fill>
    </dxf>
    <dxf>
      <font>
        <b val="0"/>
        <condense val="0"/>
        <extend val="0"/>
        <color indexed="22"/>
      </font>
      <fill>
        <patternFill patternType="solid">
          <fgColor indexed="44"/>
          <bgColor indexed="22"/>
        </patternFill>
      </fill>
    </dxf>
    <dxf>
      <fill>
        <patternFill>
          <bgColor rgb="FFFFC000"/>
        </patternFill>
      </fill>
    </dxf>
    <dxf>
      <font>
        <b/>
        <i val="0"/>
        <condense val="0"/>
        <extend val="0"/>
      </font>
      <fill>
        <patternFill patternType="solid">
          <fgColor indexed="21"/>
          <bgColor indexed="57"/>
        </patternFill>
      </fill>
    </dxf>
    <dxf>
      <font>
        <b/>
        <i val="0"/>
        <condense val="0"/>
        <extend val="0"/>
      </font>
      <fill>
        <patternFill patternType="solid">
          <fgColor indexed="21"/>
          <bgColor indexed="57"/>
        </patternFill>
      </fill>
    </dxf>
    <dxf>
      <font>
        <b/>
        <i val="0"/>
        <condense val="0"/>
        <extend val="0"/>
      </font>
      <fill>
        <patternFill patternType="solid">
          <fgColor indexed="21"/>
          <bgColor indexed="57"/>
        </patternFill>
      </fill>
    </dxf>
    <dxf>
      <font>
        <b/>
        <i val="0"/>
        <condense val="0"/>
        <extend val="0"/>
      </font>
      <fill>
        <patternFill patternType="solid">
          <fgColor indexed="21"/>
          <bgColor indexed="57"/>
        </patternFill>
      </fill>
    </dxf>
    <dxf>
      <font>
        <b/>
        <i val="0"/>
        <condense val="0"/>
        <extend val="0"/>
      </font>
      <fill>
        <patternFill patternType="solid">
          <fgColor indexed="21"/>
          <bgColor indexed="57"/>
        </patternFill>
      </fill>
    </dxf>
    <dxf>
      <font>
        <b val="0"/>
        <condense val="0"/>
        <extend val="0"/>
        <color indexed="22"/>
      </font>
      <fill>
        <patternFill patternType="solid">
          <fgColor indexed="44"/>
          <bgColor indexed="22"/>
        </patternFill>
      </fill>
    </dxf>
    <dxf>
      <font>
        <b val="0"/>
        <condense val="0"/>
        <extend val="0"/>
        <color indexed="9"/>
      </font>
    </dxf>
    <dxf>
      <font>
        <b val="0"/>
        <condense val="0"/>
        <extend val="0"/>
        <color indexed="44"/>
      </font>
      <fill>
        <patternFill patternType="solid">
          <fgColor indexed="22"/>
          <bgColor indexed="44"/>
        </patternFill>
      </fill>
    </dxf>
    <dxf>
      <font>
        <b/>
        <i val="0"/>
        <condense val="0"/>
        <extend val="0"/>
        <color indexed="9"/>
      </font>
      <fill>
        <patternFill patternType="solid">
          <fgColor indexed="60"/>
          <bgColor indexed="10"/>
        </patternFill>
      </fill>
    </dxf>
    <dxf>
      <font>
        <b val="0"/>
        <condense val="0"/>
        <extend val="0"/>
        <color indexed="44"/>
      </font>
      <fill>
        <patternFill patternType="solid">
          <fgColor indexed="22"/>
          <bgColor indexed="44"/>
        </patternFill>
      </fill>
    </dxf>
    <dxf>
      <font>
        <b val="0"/>
        <condense val="0"/>
        <extend val="0"/>
        <color indexed="9"/>
      </font>
    </dxf>
    <dxf>
      <font>
        <b val="0"/>
        <condense val="0"/>
        <extend val="0"/>
        <color indexed="44"/>
      </font>
      <fill>
        <patternFill patternType="solid">
          <fgColor indexed="22"/>
          <bgColor indexed="44"/>
        </patternFill>
      </fill>
    </dxf>
    <dxf>
      <font>
        <b/>
        <i val="0"/>
        <condense val="0"/>
        <extend val="0"/>
        <color indexed="9"/>
      </font>
      <fill>
        <patternFill patternType="solid">
          <fgColor indexed="60"/>
          <bgColor indexed="10"/>
        </patternFill>
      </fill>
    </dxf>
    <dxf>
      <font>
        <b val="0"/>
        <condense val="0"/>
        <extend val="0"/>
        <color indexed="44"/>
      </font>
      <fill>
        <patternFill patternType="solid">
          <fgColor indexed="22"/>
          <bgColor indexed="44"/>
        </patternFill>
      </fill>
    </dxf>
    <dxf>
      <font>
        <b val="0"/>
        <condense val="0"/>
        <extend val="0"/>
        <color indexed="9"/>
      </font>
    </dxf>
    <dxf>
      <font>
        <b/>
        <i val="0"/>
        <condense val="0"/>
        <extend val="0"/>
        <color indexed="9"/>
      </font>
      <fill>
        <patternFill patternType="solid">
          <fgColor indexed="60"/>
          <bgColor indexed="10"/>
        </patternFill>
      </fill>
    </dxf>
    <dxf>
      <font>
        <b/>
        <i val="0"/>
        <condense val="0"/>
        <extend val="0"/>
        <color indexed="9"/>
      </font>
      <fill>
        <patternFill patternType="solid">
          <fgColor indexed="60"/>
          <bgColor indexed="10"/>
        </patternFill>
      </fill>
    </dxf>
    <dxf>
      <font>
        <b/>
        <i val="0"/>
        <condense val="0"/>
        <extend val="0"/>
        <color indexed="9"/>
      </font>
      <fill>
        <patternFill patternType="solid">
          <fgColor indexed="60"/>
          <bgColor indexed="10"/>
        </patternFill>
      </fill>
    </dxf>
    <dxf>
      <font>
        <b val="0"/>
        <condense val="0"/>
        <extend val="0"/>
        <color indexed="44"/>
      </font>
      <fill>
        <patternFill patternType="solid">
          <fgColor indexed="22"/>
          <bgColor indexed="44"/>
        </patternFill>
      </fill>
    </dxf>
    <dxf>
      <font>
        <b/>
        <i val="0"/>
        <condense val="0"/>
        <extend val="0"/>
        <color indexed="9"/>
      </font>
      <fill>
        <patternFill patternType="solid">
          <fgColor indexed="60"/>
          <bgColor indexed="10"/>
        </patternFill>
      </fill>
    </dxf>
    <dxf>
      <font>
        <b val="0"/>
        <condense val="0"/>
        <extend val="0"/>
        <color indexed="44"/>
      </font>
      <fill>
        <patternFill patternType="solid">
          <fgColor indexed="22"/>
          <bgColor indexed="44"/>
        </patternFill>
      </fill>
    </dxf>
    <dxf>
      <font>
        <color rgb="FFFF0000"/>
      </font>
      <fill>
        <patternFill>
          <bgColor rgb="FFFFFF99"/>
        </patternFill>
      </fill>
    </dxf>
    <dxf>
      <font>
        <b val="0"/>
        <condense val="0"/>
        <extend val="0"/>
        <color indexed="8"/>
      </font>
      <fill>
        <patternFill patternType="solid">
          <fgColor indexed="46"/>
          <bgColor indexed="24"/>
        </patternFill>
      </fill>
    </dxf>
    <dxf>
      <font>
        <color rgb="FFFF0000"/>
      </font>
      <fill>
        <patternFill>
          <bgColor rgb="FFFFFF99"/>
        </patternFill>
      </fill>
    </dxf>
    <dxf>
      <font>
        <b val="0"/>
        <condense val="0"/>
        <extend val="0"/>
        <color indexed="8"/>
      </font>
      <fill>
        <patternFill patternType="solid">
          <fgColor indexed="46"/>
          <bgColor indexed="24"/>
        </patternFill>
      </fill>
    </dxf>
    <dxf>
      <font>
        <b/>
        <i val="0"/>
        <color auto="1"/>
      </font>
      <fill>
        <patternFill>
          <bgColor rgb="FFFF0000"/>
        </patternFill>
      </fill>
    </dxf>
    <dxf>
      <font>
        <b/>
        <i val="0"/>
      </font>
      <fill>
        <patternFill>
          <bgColor rgb="FFFF0000"/>
        </patternFill>
      </fill>
    </dxf>
    <dxf>
      <font>
        <b/>
        <i val="0"/>
        <condense val="0"/>
        <extend val="0"/>
      </font>
      <fill>
        <patternFill patternType="solid">
          <fgColor indexed="46"/>
          <bgColor indexed="55"/>
        </patternFill>
      </fill>
      <border>
        <top style="thin">
          <color indexed="64"/>
        </top>
      </border>
    </dxf>
    <dxf>
      <fill>
        <patternFill patternType="solid">
          <fgColor indexed="44"/>
          <bgColor indexed="22"/>
        </patternFill>
      </fill>
    </dxf>
    <dxf>
      <fill>
        <patternFill patternType="solid">
          <fgColor indexed="46"/>
          <bgColor indexed="55"/>
        </patternFill>
      </fill>
    </dxf>
    <dxf>
      <fill>
        <patternFill patternType="solid">
          <fgColor indexed="44"/>
          <bgColor indexed="22"/>
        </patternFill>
      </fill>
    </dxf>
    <dxf>
      <font>
        <b val="0"/>
        <condense val="0"/>
        <extend val="0"/>
        <color indexed="8"/>
      </font>
      <fill>
        <patternFill patternType="solid">
          <fgColor indexed="26"/>
          <bgColor indexed="43"/>
        </patternFill>
      </fill>
    </dxf>
    <dxf>
      <font>
        <color rgb="FFFF0000"/>
      </font>
      <fill>
        <patternFill>
          <bgColor rgb="FFFFFF99"/>
        </patternFill>
      </fill>
    </dxf>
    <dxf>
      <font>
        <b val="0"/>
        <condense val="0"/>
        <extend val="0"/>
        <color indexed="8"/>
      </font>
      <fill>
        <patternFill patternType="solid">
          <fgColor indexed="46"/>
          <bgColor indexed="24"/>
        </patternFill>
      </fill>
    </dxf>
    <dxf>
      <font>
        <color rgb="FFFF0000"/>
      </font>
      <fill>
        <patternFill>
          <bgColor rgb="FFFFFF99"/>
        </patternFill>
      </fill>
    </dxf>
    <dxf>
      <font>
        <b val="0"/>
        <condense val="0"/>
        <extend val="0"/>
        <color indexed="8"/>
      </font>
      <fill>
        <patternFill patternType="solid">
          <fgColor indexed="46"/>
          <bgColor indexed="24"/>
        </patternFill>
      </fill>
    </dxf>
    <dxf>
      <font>
        <b/>
        <i val="0"/>
        <color auto="1"/>
      </font>
      <fill>
        <patternFill>
          <bgColor rgb="FFFF0000"/>
        </patternFill>
      </fill>
    </dxf>
    <dxf>
      <font>
        <b/>
        <i val="0"/>
      </font>
      <fill>
        <patternFill>
          <bgColor rgb="FFFF0000"/>
        </patternFill>
      </fill>
    </dxf>
    <dxf>
      <font>
        <b/>
        <i val="0"/>
        <condense val="0"/>
        <extend val="0"/>
      </font>
      <fill>
        <patternFill patternType="solid">
          <fgColor indexed="46"/>
          <bgColor indexed="55"/>
        </patternFill>
      </fill>
      <border>
        <top style="thin">
          <color indexed="64"/>
        </top>
      </border>
    </dxf>
    <dxf>
      <fill>
        <patternFill patternType="solid">
          <fgColor indexed="44"/>
          <bgColor indexed="22"/>
        </patternFill>
      </fill>
    </dxf>
    <dxf>
      <fill>
        <patternFill patternType="solid">
          <fgColor indexed="46"/>
          <bgColor indexed="55"/>
        </patternFill>
      </fill>
    </dxf>
    <dxf>
      <fill>
        <patternFill patternType="solid">
          <fgColor indexed="44"/>
          <bgColor indexed="22"/>
        </patternFill>
      </fill>
    </dxf>
    <dxf>
      <font>
        <b val="0"/>
        <condense val="0"/>
        <extend val="0"/>
        <color indexed="8"/>
      </font>
      <fill>
        <patternFill patternType="solid">
          <fgColor indexed="26"/>
          <bgColor indexed="43"/>
        </patternFill>
      </fill>
    </dxf>
    <dxf>
      <font>
        <color rgb="FFFF0000"/>
      </font>
      <fill>
        <patternFill>
          <bgColor rgb="FFFFFF99"/>
        </patternFill>
      </fill>
    </dxf>
    <dxf>
      <font>
        <b val="0"/>
        <condense val="0"/>
        <extend val="0"/>
        <color indexed="8"/>
      </font>
      <fill>
        <patternFill patternType="solid">
          <fgColor indexed="46"/>
          <bgColor indexed="24"/>
        </patternFill>
      </fill>
    </dxf>
    <dxf>
      <font>
        <b val="0"/>
        <condense val="0"/>
        <extend val="0"/>
        <color indexed="9"/>
      </font>
    </dxf>
    <dxf>
      <font>
        <color rgb="FFFF0000"/>
      </font>
      <fill>
        <patternFill>
          <bgColor rgb="FFFFFF99"/>
        </patternFill>
      </fill>
    </dxf>
    <dxf>
      <font>
        <b val="0"/>
        <condense val="0"/>
        <extend val="0"/>
        <color indexed="8"/>
      </font>
      <fill>
        <patternFill patternType="solid">
          <fgColor indexed="46"/>
          <bgColor indexed="24"/>
        </patternFill>
      </fill>
    </dxf>
    <dxf>
      <font>
        <b val="0"/>
        <condense val="0"/>
        <extend val="0"/>
        <color indexed="9"/>
      </font>
    </dxf>
    <dxf>
      <font>
        <color theme="0"/>
      </font>
      <fill>
        <patternFill>
          <bgColor theme="0"/>
        </patternFill>
      </fill>
      <border>
        <left/>
        <right/>
        <top/>
        <bottom/>
        <vertical/>
        <horizontal/>
      </border>
    </dxf>
    <dxf>
      <font>
        <b/>
        <i val="0"/>
        <color auto="1"/>
      </font>
      <fill>
        <patternFill>
          <bgColor rgb="FFFF0000"/>
        </patternFill>
      </fill>
    </dxf>
    <dxf>
      <font>
        <b/>
        <i val="0"/>
        <color rgb="FFFF0000"/>
      </font>
    </dxf>
    <dxf>
      <font>
        <b/>
        <i val="0"/>
      </font>
      <fill>
        <patternFill>
          <bgColor rgb="FFFF0000"/>
        </patternFill>
      </fill>
    </dxf>
    <dxf>
      <font>
        <color theme="0"/>
      </font>
      <border>
        <left/>
        <right/>
      </border>
    </dxf>
    <dxf>
      <font>
        <b val="0"/>
        <condense val="0"/>
        <extend val="0"/>
        <color indexed="9"/>
      </font>
      <border>
        <left/>
      </border>
    </dxf>
    <dxf>
      <font>
        <b val="0"/>
        <condense val="0"/>
        <extend val="0"/>
        <color indexed="9"/>
      </font>
    </dxf>
    <dxf>
      <font>
        <color rgb="FFC0C0C0"/>
      </font>
    </dxf>
    <dxf>
      <font>
        <b/>
        <i val="0"/>
        <condense val="0"/>
        <extend val="0"/>
      </font>
      <fill>
        <patternFill patternType="solid">
          <fgColor indexed="46"/>
          <bgColor indexed="55"/>
        </patternFill>
      </fill>
      <border>
        <top style="thin">
          <color indexed="64"/>
        </top>
      </border>
    </dxf>
    <dxf>
      <fill>
        <patternFill patternType="solid">
          <fgColor indexed="44"/>
          <bgColor indexed="22"/>
        </patternFill>
      </fill>
    </dxf>
    <dxf>
      <fill>
        <patternFill patternType="solid">
          <fgColor indexed="46"/>
          <bgColor indexed="55"/>
        </patternFill>
      </fill>
    </dxf>
    <dxf>
      <fill>
        <patternFill patternType="solid">
          <fgColor indexed="44"/>
          <bgColor indexed="22"/>
        </patternFill>
      </fill>
    </dxf>
    <dxf>
      <font>
        <b val="0"/>
        <condense val="0"/>
        <extend val="0"/>
        <color indexed="8"/>
      </font>
      <fill>
        <patternFill patternType="solid">
          <fgColor indexed="26"/>
          <bgColor indexed="43"/>
        </patternFill>
      </fill>
    </dxf>
    <dxf>
      <fill>
        <patternFill patternType="solid">
          <fgColor indexed="26"/>
          <bgColor indexed="43"/>
        </patternFill>
      </fill>
    </dxf>
    <dxf>
      <font>
        <b val="0"/>
        <condense val="0"/>
        <extend val="0"/>
        <color indexed="22"/>
      </font>
      <fill>
        <patternFill patternType="solid">
          <fgColor indexed="44"/>
          <bgColor indexed="22"/>
        </patternFill>
      </fill>
    </dxf>
    <dxf>
      <font>
        <b val="0"/>
        <condense val="0"/>
        <extend val="0"/>
        <color indexed="22"/>
      </font>
      <fill>
        <patternFill patternType="solid">
          <fgColor indexed="44"/>
          <bgColor indexed="22"/>
        </patternFill>
      </fill>
    </dxf>
    <dxf>
      <font>
        <b val="0"/>
        <condense val="0"/>
        <extend val="0"/>
        <color indexed="22"/>
      </font>
      <fill>
        <patternFill patternType="solid">
          <fgColor indexed="44"/>
          <bgColor indexed="22"/>
        </patternFill>
      </fill>
    </dxf>
    <dxf>
      <font>
        <b val="0"/>
        <condense val="0"/>
        <extend val="0"/>
        <color indexed="22"/>
      </font>
      <fill>
        <patternFill patternType="solid">
          <fgColor indexed="44"/>
          <bgColor indexed="22"/>
        </patternFill>
      </fill>
    </dxf>
    <dxf>
      <font>
        <b val="0"/>
        <condense val="0"/>
        <extend val="0"/>
        <color indexed="22"/>
      </font>
      <fill>
        <patternFill patternType="solid">
          <fgColor indexed="44"/>
          <bgColor indexed="22"/>
        </patternFill>
      </fill>
    </dxf>
    <dxf>
      <font>
        <b val="0"/>
        <condense val="0"/>
        <extend val="0"/>
        <color indexed="22"/>
      </font>
      <fill>
        <patternFill patternType="solid">
          <fgColor indexed="44"/>
          <bgColor indexed="22"/>
        </patternFill>
      </fill>
    </dxf>
    <dxf>
      <font>
        <b/>
        <i val="0"/>
        <color rgb="FFFF0000"/>
      </font>
    </dxf>
    <dxf>
      <font>
        <color theme="0" tint="-0.14996795556505021"/>
      </font>
    </dxf>
    <dxf>
      <font>
        <color theme="0"/>
      </font>
      <fill>
        <patternFill>
          <bgColor theme="0"/>
        </patternFill>
      </fill>
      <border>
        <left/>
        <right/>
        <top/>
        <bottom/>
        <vertical/>
        <horizontal/>
      </border>
    </dxf>
    <dxf>
      <font>
        <color theme="0"/>
      </font>
      <fill>
        <patternFill patternType="solid">
          <bgColor theme="0"/>
        </patternFill>
      </fill>
      <border>
        <left/>
        <right/>
        <top/>
        <vertical/>
        <horizontal/>
      </border>
    </dxf>
    <dxf>
      <font>
        <color theme="0"/>
      </font>
    </dxf>
    <dxf>
      <font>
        <color theme="0" tint="-0.14996795556505021"/>
      </font>
    </dxf>
    <dxf>
      <font>
        <color theme="0"/>
      </font>
    </dxf>
    <dxf>
      <font>
        <color theme="0" tint="-0.14996795556505021"/>
      </font>
    </dxf>
    <dxf>
      <font>
        <color theme="0" tint="-0.24994659260841701"/>
      </font>
    </dxf>
    <dxf>
      <font>
        <color theme="0"/>
      </font>
      <border>
        <left/>
        <right/>
      </border>
    </dxf>
    <dxf>
      <font>
        <b val="0"/>
        <condense val="0"/>
        <extend val="0"/>
        <color indexed="22"/>
      </font>
      <fill>
        <patternFill patternType="solid">
          <fgColor indexed="44"/>
          <bgColor indexed="22"/>
        </patternFill>
      </fill>
    </dxf>
    <dxf>
      <font>
        <b val="0"/>
        <condense val="0"/>
        <extend val="0"/>
        <color indexed="55"/>
      </font>
      <fill>
        <patternFill patternType="solid">
          <fgColor indexed="46"/>
          <bgColor indexed="55"/>
        </patternFill>
      </fill>
      <border>
        <left/>
        <right/>
        <top style="thin">
          <color indexed="8"/>
        </top>
        <bottom/>
      </border>
    </dxf>
    <dxf>
      <font>
        <b val="0"/>
        <condense val="0"/>
        <extend val="0"/>
        <color indexed="22"/>
      </font>
      <fill>
        <patternFill patternType="solid">
          <fgColor indexed="44"/>
          <bgColor indexed="22"/>
        </patternFill>
      </fill>
    </dxf>
    <dxf>
      <font>
        <b val="0"/>
        <condense val="0"/>
        <extend val="0"/>
        <color indexed="9"/>
      </font>
      <fill>
        <patternFill patternType="none">
          <fgColor indexed="64"/>
          <bgColor indexed="65"/>
        </patternFill>
      </fill>
      <border>
        <left/>
        <right/>
        <top/>
        <bottom/>
      </border>
    </dxf>
    <dxf>
      <font>
        <b val="0"/>
        <condense val="0"/>
        <extend val="0"/>
        <color indexed="22"/>
      </font>
      <fill>
        <patternFill patternType="solid">
          <fgColor indexed="44"/>
          <bgColor indexed="22"/>
        </patternFill>
      </fill>
    </dxf>
    <dxf>
      <font>
        <b val="0"/>
        <condense val="0"/>
        <extend val="0"/>
        <color indexed="55"/>
      </font>
      <fill>
        <patternFill patternType="solid">
          <fgColor indexed="46"/>
          <bgColor indexed="55"/>
        </patternFill>
      </fill>
      <border>
        <left/>
        <right/>
        <top style="thin">
          <color indexed="8"/>
        </top>
        <bottom/>
      </border>
    </dxf>
    <dxf>
      <font>
        <b val="0"/>
        <condense val="0"/>
        <extend val="0"/>
        <color indexed="9"/>
      </font>
      <fill>
        <patternFill patternType="none">
          <fgColor indexed="64"/>
          <bgColor indexed="65"/>
        </patternFill>
      </fill>
      <border>
        <left/>
        <right/>
        <top/>
        <bottom/>
      </border>
    </dxf>
    <dxf>
      <font>
        <b val="0"/>
        <condense val="0"/>
        <extend val="0"/>
        <color indexed="55"/>
      </font>
      <fill>
        <patternFill patternType="solid">
          <fgColor indexed="46"/>
          <bgColor indexed="55"/>
        </patternFill>
      </fill>
      <border>
        <top style="thin">
          <color indexed="64"/>
        </top>
      </border>
    </dxf>
    <dxf>
      <font>
        <b val="0"/>
        <condense val="0"/>
        <extend val="0"/>
        <color indexed="22"/>
      </font>
      <fill>
        <patternFill patternType="solid">
          <fgColor indexed="44"/>
          <bgColor indexed="22"/>
        </patternFill>
      </fill>
    </dxf>
    <dxf>
      <font>
        <b val="0"/>
        <condense val="0"/>
        <extend val="0"/>
        <color indexed="9"/>
      </font>
      <fill>
        <patternFill patternType="none">
          <fgColor indexed="64"/>
          <bgColor indexed="65"/>
        </patternFill>
      </fill>
      <border>
        <left/>
        <right/>
        <top/>
        <bottom/>
      </border>
    </dxf>
    <dxf>
      <fill>
        <patternFill patternType="solid">
          <fgColor indexed="44"/>
          <bgColor indexed="22"/>
        </patternFill>
      </fill>
    </dxf>
    <dxf>
      <font>
        <b/>
        <i val="0"/>
        <condense val="0"/>
        <extend val="0"/>
      </font>
      <fill>
        <patternFill patternType="solid">
          <fgColor indexed="46"/>
          <bgColor indexed="55"/>
        </patternFill>
      </fill>
      <border>
        <top style="thin">
          <color indexed="64"/>
        </top>
      </border>
    </dxf>
    <dxf>
      <font>
        <b val="0"/>
        <condense val="0"/>
        <extend val="0"/>
        <color indexed="55"/>
      </font>
      <fill>
        <patternFill patternType="solid">
          <fgColor indexed="46"/>
          <bgColor indexed="55"/>
        </patternFill>
      </fill>
      <border>
        <top style="thin">
          <color indexed="64"/>
        </top>
      </border>
    </dxf>
    <dxf>
      <font>
        <b val="0"/>
        <condense val="0"/>
        <extend val="0"/>
        <color indexed="22"/>
      </font>
      <fill>
        <patternFill patternType="solid">
          <fgColor indexed="44"/>
          <bgColor indexed="22"/>
        </patternFill>
      </fill>
    </dxf>
    <dxf>
      <font>
        <b val="0"/>
        <condense val="0"/>
        <extend val="0"/>
        <color indexed="9"/>
      </font>
      <fill>
        <patternFill patternType="none">
          <fgColor indexed="64"/>
          <bgColor indexed="65"/>
        </patternFill>
      </fill>
      <border>
        <left/>
        <right/>
        <top/>
        <bottom/>
      </border>
    </dxf>
    <dxf>
      <fill>
        <patternFill patternType="solid">
          <fgColor indexed="44"/>
          <bgColor indexed="22"/>
        </patternFill>
      </fill>
    </dxf>
    <dxf>
      <font>
        <b/>
        <i val="0"/>
        <condense val="0"/>
        <extend val="0"/>
      </font>
      <fill>
        <patternFill patternType="solid">
          <fgColor indexed="46"/>
          <bgColor indexed="55"/>
        </patternFill>
      </fill>
      <border>
        <top style="thin">
          <color indexed="64"/>
        </top>
      </border>
    </dxf>
    <dxf>
      <font>
        <b val="0"/>
        <condense val="0"/>
        <extend val="0"/>
        <color indexed="55"/>
      </font>
      <fill>
        <patternFill patternType="solid">
          <fgColor indexed="46"/>
          <bgColor indexed="55"/>
        </patternFill>
      </fill>
      <border>
        <top style="thin">
          <color indexed="64"/>
        </top>
      </border>
    </dxf>
    <dxf>
      <font>
        <b val="0"/>
        <condense val="0"/>
        <extend val="0"/>
        <color indexed="22"/>
      </font>
      <fill>
        <patternFill patternType="solid">
          <fgColor indexed="44"/>
          <bgColor indexed="22"/>
        </patternFill>
      </fill>
    </dxf>
    <dxf>
      <font>
        <b val="0"/>
        <condense val="0"/>
        <extend val="0"/>
        <color indexed="9"/>
      </font>
      <fill>
        <patternFill patternType="none">
          <fgColor indexed="64"/>
          <bgColor indexed="65"/>
        </patternFill>
      </fill>
      <border>
        <left/>
        <right/>
        <top/>
        <bottom/>
      </border>
    </dxf>
    <dxf>
      <fill>
        <patternFill patternType="solid">
          <fgColor indexed="44"/>
          <bgColor indexed="22"/>
        </patternFill>
      </fill>
    </dxf>
    <dxf>
      <font>
        <b/>
        <i val="0"/>
        <condense val="0"/>
        <extend val="0"/>
      </font>
      <fill>
        <patternFill patternType="solid">
          <fgColor indexed="46"/>
          <bgColor indexed="55"/>
        </patternFill>
      </fill>
      <border>
        <top style="thin">
          <color indexed="64"/>
        </top>
      </border>
    </dxf>
    <dxf>
      <font>
        <color rgb="FFFF0000"/>
      </font>
    </dxf>
    <dxf>
      <font>
        <color rgb="FFFF0000"/>
      </font>
    </dxf>
    <dxf>
      <font>
        <b val="0"/>
        <condense val="0"/>
        <extend val="0"/>
        <color indexed="55"/>
      </font>
      <fill>
        <patternFill patternType="solid">
          <fgColor indexed="46"/>
          <bgColor indexed="55"/>
        </patternFill>
      </fill>
      <border>
        <left/>
        <right/>
        <top style="thin">
          <color indexed="8"/>
        </top>
        <bottom/>
      </border>
    </dxf>
    <dxf>
      <font>
        <b val="0"/>
        <condense val="0"/>
        <extend val="0"/>
        <color indexed="22"/>
      </font>
      <fill>
        <patternFill patternType="solid">
          <fgColor indexed="44"/>
          <bgColor indexed="22"/>
        </patternFill>
      </fill>
    </dxf>
    <dxf>
      <font>
        <b val="0"/>
        <condense val="0"/>
        <extend val="0"/>
        <color indexed="9"/>
      </font>
      <fill>
        <patternFill patternType="none">
          <fgColor indexed="64"/>
          <bgColor indexed="65"/>
        </patternFill>
      </fill>
      <border>
        <left/>
        <right/>
        <top/>
        <bottom/>
      </border>
    </dxf>
    <dxf>
      <font>
        <b val="0"/>
        <condense val="0"/>
        <extend val="0"/>
        <color indexed="22"/>
      </font>
      <fill>
        <patternFill patternType="solid">
          <fgColor indexed="44"/>
          <bgColor indexed="22"/>
        </patternFill>
      </fill>
    </dxf>
    <dxf>
      <font>
        <b val="0"/>
        <condense val="0"/>
        <extend val="0"/>
        <color indexed="55"/>
      </font>
      <fill>
        <patternFill patternType="solid">
          <fgColor indexed="46"/>
          <bgColor indexed="55"/>
        </patternFill>
      </fill>
      <border>
        <left/>
        <right/>
        <top style="thin">
          <color indexed="8"/>
        </top>
        <bottom/>
      </border>
    </dxf>
    <dxf>
      <font>
        <b val="0"/>
        <condense val="0"/>
        <extend val="0"/>
        <color indexed="9"/>
      </font>
      <fill>
        <patternFill patternType="none">
          <fgColor indexed="64"/>
          <bgColor indexed="65"/>
        </patternFill>
      </fill>
      <border>
        <left/>
        <right/>
        <top/>
        <bottom/>
      </border>
    </dxf>
    <dxf>
      <font>
        <b val="0"/>
        <condense val="0"/>
        <extend val="0"/>
        <color indexed="55"/>
      </font>
      <fill>
        <patternFill patternType="solid">
          <fgColor indexed="46"/>
          <bgColor indexed="55"/>
        </patternFill>
      </fill>
      <border>
        <top style="thin">
          <color indexed="64"/>
        </top>
      </border>
    </dxf>
    <dxf>
      <font>
        <b val="0"/>
        <condense val="0"/>
        <extend val="0"/>
        <color indexed="22"/>
      </font>
      <fill>
        <patternFill patternType="solid">
          <fgColor indexed="44"/>
          <bgColor indexed="22"/>
        </patternFill>
      </fill>
    </dxf>
    <dxf>
      <font>
        <b val="0"/>
        <condense val="0"/>
        <extend val="0"/>
        <color indexed="9"/>
      </font>
      <fill>
        <patternFill patternType="none">
          <fgColor indexed="64"/>
          <bgColor indexed="65"/>
        </patternFill>
      </fill>
      <border>
        <left/>
        <right/>
        <top/>
        <bottom/>
      </border>
    </dxf>
    <dxf>
      <fill>
        <patternFill patternType="solid">
          <fgColor indexed="44"/>
          <bgColor indexed="22"/>
        </patternFill>
      </fill>
    </dxf>
    <dxf>
      <font>
        <b/>
        <i val="0"/>
        <condense val="0"/>
        <extend val="0"/>
      </font>
      <fill>
        <patternFill patternType="solid">
          <fgColor indexed="46"/>
          <bgColor indexed="55"/>
        </patternFill>
      </fill>
      <border>
        <top style="thin">
          <color indexed="64"/>
        </top>
      </border>
    </dxf>
    <dxf>
      <font>
        <color theme="0"/>
      </font>
      <fill>
        <patternFill patternType="none">
          <bgColor auto="1"/>
        </patternFill>
      </fill>
      <border>
        <left/>
        <right/>
        <top/>
        <vertical/>
        <horizontal/>
      </border>
    </dxf>
    <dxf>
      <font>
        <color theme="0"/>
      </font>
      <fill>
        <patternFill>
          <bgColor theme="0"/>
        </patternFill>
      </fill>
      <border>
        <right/>
        <top/>
        <bottom/>
      </border>
    </dxf>
    <dxf>
      <font>
        <b/>
        <i val="0"/>
        <condense val="0"/>
        <extend val="0"/>
      </font>
      <fill>
        <patternFill patternType="solid">
          <fgColor indexed="44"/>
          <bgColor indexed="22"/>
        </patternFill>
      </fill>
    </dxf>
    <dxf>
      <font>
        <b/>
        <i val="0"/>
        <condense val="0"/>
        <extend val="0"/>
      </font>
      <fill>
        <patternFill patternType="solid">
          <fgColor indexed="46"/>
          <bgColor indexed="55"/>
        </patternFill>
      </fill>
      <border>
        <left/>
        <right/>
        <top style="thin">
          <color indexed="8"/>
        </top>
        <bottom/>
      </border>
    </dxf>
    <dxf>
      <font>
        <b/>
        <i val="0"/>
        <color rgb="FFFF0000"/>
      </font>
    </dxf>
    <dxf>
      <font>
        <b/>
        <i val="0"/>
        <condense val="0"/>
        <extend val="0"/>
      </font>
      <fill>
        <patternFill patternType="solid">
          <fgColor indexed="44"/>
          <bgColor indexed="22"/>
        </patternFill>
      </fill>
    </dxf>
    <dxf>
      <font>
        <b/>
        <i val="0"/>
        <condense val="0"/>
        <extend val="0"/>
      </font>
      <fill>
        <patternFill patternType="solid">
          <fgColor indexed="46"/>
          <bgColor indexed="55"/>
        </patternFill>
      </fill>
      <border>
        <top style="thin">
          <color indexed="64"/>
        </top>
      </border>
    </dxf>
    <dxf>
      <font>
        <b val="0"/>
        <condense val="0"/>
        <extend val="0"/>
        <color indexed="9"/>
      </font>
      <fill>
        <patternFill patternType="none">
          <fgColor indexed="64"/>
          <bgColor indexed="65"/>
        </patternFill>
      </fill>
      <border>
        <left/>
        <right/>
        <top/>
        <bottom/>
      </border>
    </dxf>
    <dxf>
      <font>
        <b val="0"/>
        <condense val="0"/>
        <extend val="0"/>
        <color indexed="22"/>
      </font>
      <fill>
        <patternFill patternType="solid">
          <fgColor indexed="44"/>
          <bgColor indexed="22"/>
        </patternFill>
      </fill>
    </dxf>
    <dxf>
      <font>
        <b val="0"/>
        <condense val="0"/>
        <extend val="0"/>
        <color indexed="55"/>
      </font>
      <fill>
        <patternFill patternType="solid">
          <fgColor indexed="46"/>
          <bgColor indexed="55"/>
        </patternFill>
      </fill>
      <border>
        <top style="thin">
          <color indexed="64"/>
        </top>
      </border>
    </dxf>
    <dxf>
      <font>
        <b val="0"/>
        <condense val="0"/>
        <extend val="0"/>
        <color indexed="9"/>
      </font>
      <fill>
        <patternFill patternType="none">
          <fgColor indexed="64"/>
          <bgColor indexed="65"/>
        </patternFill>
      </fill>
      <border>
        <left/>
        <right/>
        <top/>
        <bottom/>
      </border>
    </dxf>
    <dxf>
      <font>
        <b val="0"/>
        <condense val="0"/>
        <extend val="0"/>
        <color indexed="22"/>
      </font>
      <fill>
        <patternFill patternType="solid">
          <fgColor indexed="44"/>
          <bgColor indexed="22"/>
        </patternFill>
      </fill>
    </dxf>
    <dxf>
      <font>
        <b val="0"/>
        <condense val="0"/>
        <extend val="0"/>
        <color indexed="55"/>
      </font>
      <fill>
        <patternFill patternType="solid">
          <fgColor indexed="46"/>
          <bgColor indexed="55"/>
        </patternFill>
      </fill>
      <border>
        <top style="thin">
          <color indexed="64"/>
        </top>
      </border>
    </dxf>
    <dxf>
      <font>
        <b val="0"/>
        <condense val="0"/>
        <extend val="0"/>
        <color indexed="9"/>
      </font>
      <fill>
        <patternFill patternType="none">
          <fgColor indexed="64"/>
          <bgColor indexed="65"/>
        </patternFill>
      </fill>
      <border>
        <left/>
        <right/>
        <top/>
        <bottom/>
      </border>
    </dxf>
    <dxf>
      <font>
        <b val="0"/>
        <condense val="0"/>
        <extend val="0"/>
        <color indexed="22"/>
      </font>
      <fill>
        <patternFill patternType="solid">
          <fgColor indexed="44"/>
          <bgColor indexed="22"/>
        </patternFill>
      </fill>
    </dxf>
    <dxf>
      <font>
        <b val="0"/>
        <condense val="0"/>
        <extend val="0"/>
        <color indexed="55"/>
      </font>
      <fill>
        <patternFill patternType="solid">
          <fgColor indexed="46"/>
          <bgColor indexed="55"/>
        </patternFill>
      </fill>
      <border>
        <top style="thin">
          <color indexed="64"/>
        </top>
      </border>
    </dxf>
    <dxf>
      <font>
        <b val="0"/>
        <condense val="0"/>
        <extend val="0"/>
        <color indexed="9"/>
      </font>
      <fill>
        <patternFill patternType="none">
          <fgColor indexed="64"/>
          <bgColor indexed="65"/>
        </patternFill>
      </fill>
    </dxf>
    <dxf>
      <font>
        <b val="0"/>
        <condense val="0"/>
        <extend val="0"/>
        <color indexed="22"/>
      </font>
      <fill>
        <patternFill patternType="solid">
          <fgColor indexed="44"/>
          <bgColor indexed="22"/>
        </patternFill>
      </fill>
    </dxf>
    <dxf>
      <font>
        <b val="0"/>
        <condense val="0"/>
        <extend val="0"/>
        <color indexed="55"/>
      </font>
      <fill>
        <patternFill patternType="solid">
          <fgColor indexed="46"/>
          <bgColor indexed="55"/>
        </patternFill>
      </fill>
      <border>
        <left/>
        <right/>
        <top style="thin">
          <color indexed="8"/>
        </top>
        <bottom/>
      </border>
    </dxf>
    <dxf>
      <font>
        <b/>
        <i val="0"/>
        <condense val="0"/>
        <extend val="0"/>
      </font>
      <fill>
        <patternFill patternType="solid">
          <fgColor indexed="44"/>
          <bgColor indexed="22"/>
        </patternFill>
      </fill>
    </dxf>
    <dxf>
      <font>
        <b/>
        <i val="0"/>
        <condense val="0"/>
        <extend val="0"/>
      </font>
      <fill>
        <patternFill patternType="solid">
          <fgColor indexed="46"/>
          <bgColor indexed="55"/>
        </patternFill>
      </fill>
      <border>
        <left/>
        <right/>
        <top style="thin">
          <color indexed="8"/>
        </top>
        <bottom/>
      </border>
    </dxf>
    <dxf>
      <font>
        <b/>
        <i val="0"/>
        <condense val="0"/>
        <extend val="0"/>
        <color indexed="9"/>
      </font>
      <fill>
        <patternFill patternType="solid">
          <fgColor indexed="60"/>
          <bgColor indexed="10"/>
        </patternFill>
      </fill>
    </dxf>
    <dxf>
      <font>
        <b/>
        <i val="0"/>
        <condense val="0"/>
        <extend val="0"/>
      </font>
      <fill>
        <patternFill patternType="solid">
          <fgColor indexed="44"/>
          <bgColor indexed="22"/>
        </patternFill>
      </fill>
    </dxf>
    <dxf>
      <font>
        <b/>
        <i val="0"/>
        <condense val="0"/>
        <extend val="0"/>
      </font>
      <fill>
        <patternFill patternType="solid">
          <fgColor indexed="46"/>
          <bgColor indexed="55"/>
        </patternFill>
      </fill>
      <border>
        <left/>
        <right/>
        <top style="thin">
          <color indexed="8"/>
        </top>
        <bottom/>
      </border>
    </dxf>
    <dxf>
      <font>
        <b/>
        <i val="0"/>
        <color rgb="FFFF0000"/>
      </font>
    </dxf>
    <dxf>
      <font>
        <b/>
        <i val="0"/>
        <condense val="0"/>
        <extend val="0"/>
      </font>
      <fill>
        <patternFill patternType="solid">
          <fgColor indexed="44"/>
          <bgColor indexed="22"/>
        </patternFill>
      </fill>
    </dxf>
    <dxf>
      <font>
        <b/>
        <i val="0"/>
        <condense val="0"/>
        <extend val="0"/>
      </font>
      <fill>
        <patternFill patternType="solid">
          <fgColor indexed="46"/>
          <bgColor indexed="55"/>
        </patternFill>
      </fill>
      <border>
        <top style="thin">
          <color indexed="64"/>
        </top>
      </border>
    </dxf>
    <dxf>
      <font>
        <b val="0"/>
        <condense val="0"/>
        <extend val="0"/>
        <color indexed="9"/>
      </font>
      <fill>
        <patternFill patternType="none">
          <fgColor indexed="64"/>
          <bgColor indexed="65"/>
        </patternFill>
      </fill>
      <border>
        <left/>
        <right/>
        <top/>
        <bottom/>
      </border>
    </dxf>
    <dxf>
      <font>
        <b val="0"/>
        <condense val="0"/>
        <extend val="0"/>
        <color indexed="22"/>
      </font>
      <fill>
        <patternFill patternType="solid">
          <fgColor indexed="44"/>
          <bgColor indexed="22"/>
        </patternFill>
      </fill>
    </dxf>
    <dxf>
      <font>
        <b val="0"/>
        <condense val="0"/>
        <extend val="0"/>
        <color indexed="55"/>
      </font>
      <fill>
        <patternFill patternType="solid">
          <fgColor indexed="46"/>
          <bgColor indexed="55"/>
        </patternFill>
      </fill>
      <border>
        <top style="thin">
          <color indexed="64"/>
        </top>
      </border>
    </dxf>
    <dxf>
      <font>
        <b val="0"/>
        <condense val="0"/>
        <extend val="0"/>
        <color indexed="9"/>
      </font>
      <fill>
        <patternFill patternType="none">
          <fgColor indexed="64"/>
          <bgColor indexed="65"/>
        </patternFill>
      </fill>
      <border>
        <left/>
        <right/>
        <top/>
        <bottom/>
      </border>
    </dxf>
    <dxf>
      <font>
        <b val="0"/>
        <condense val="0"/>
        <extend val="0"/>
        <color indexed="22"/>
      </font>
      <fill>
        <patternFill patternType="solid">
          <fgColor indexed="44"/>
          <bgColor indexed="22"/>
        </patternFill>
      </fill>
    </dxf>
    <dxf>
      <font>
        <b val="0"/>
        <condense val="0"/>
        <extend val="0"/>
        <color indexed="55"/>
      </font>
      <fill>
        <patternFill patternType="solid">
          <fgColor indexed="46"/>
          <bgColor indexed="55"/>
        </patternFill>
      </fill>
      <border>
        <top style="thin">
          <color indexed="64"/>
        </top>
      </border>
    </dxf>
    <dxf>
      <font>
        <b val="0"/>
        <condense val="0"/>
        <extend val="0"/>
        <color indexed="9"/>
      </font>
      <fill>
        <patternFill patternType="none">
          <fgColor indexed="64"/>
          <bgColor indexed="65"/>
        </patternFill>
      </fill>
      <border>
        <left/>
        <right/>
        <top/>
        <bottom/>
      </border>
    </dxf>
    <dxf>
      <font>
        <b val="0"/>
        <condense val="0"/>
        <extend val="0"/>
        <color indexed="22"/>
      </font>
      <fill>
        <patternFill patternType="solid">
          <fgColor indexed="44"/>
          <bgColor indexed="22"/>
        </patternFill>
      </fill>
    </dxf>
    <dxf>
      <font>
        <b val="0"/>
        <condense val="0"/>
        <extend val="0"/>
        <color indexed="55"/>
      </font>
      <fill>
        <patternFill patternType="solid">
          <fgColor indexed="46"/>
          <bgColor indexed="55"/>
        </patternFill>
      </fill>
      <border>
        <top style="thin">
          <color indexed="64"/>
        </top>
      </border>
    </dxf>
    <dxf>
      <font>
        <b val="0"/>
        <condense val="0"/>
        <extend val="0"/>
        <color indexed="9"/>
      </font>
      <fill>
        <patternFill patternType="none">
          <fgColor indexed="64"/>
          <bgColor indexed="65"/>
        </patternFill>
      </fill>
    </dxf>
    <dxf>
      <font>
        <b val="0"/>
        <condense val="0"/>
        <extend val="0"/>
        <color indexed="22"/>
      </font>
      <fill>
        <patternFill patternType="solid">
          <fgColor indexed="44"/>
          <bgColor indexed="22"/>
        </patternFill>
      </fill>
    </dxf>
    <dxf>
      <font>
        <b val="0"/>
        <condense val="0"/>
        <extend val="0"/>
        <color indexed="55"/>
      </font>
      <fill>
        <patternFill patternType="solid">
          <fgColor indexed="46"/>
          <bgColor indexed="55"/>
        </patternFill>
      </fill>
      <border>
        <left/>
        <right/>
        <top style="thin">
          <color indexed="8"/>
        </top>
        <bottom/>
      </border>
    </dxf>
    <dxf>
      <font>
        <b/>
        <i val="0"/>
        <condense val="0"/>
        <extend val="0"/>
      </font>
      <fill>
        <patternFill patternType="solid">
          <fgColor indexed="44"/>
          <bgColor indexed="22"/>
        </patternFill>
      </fill>
    </dxf>
    <dxf>
      <font>
        <b/>
        <i val="0"/>
        <condense val="0"/>
        <extend val="0"/>
      </font>
      <fill>
        <patternFill patternType="solid">
          <fgColor indexed="46"/>
          <bgColor indexed="55"/>
        </patternFill>
      </fill>
      <border>
        <left/>
        <right/>
        <top style="thin">
          <color indexed="8"/>
        </top>
        <bottom/>
      </border>
    </dxf>
    <dxf>
      <font>
        <b/>
        <i val="0"/>
        <condense val="0"/>
        <extend val="0"/>
        <color indexed="9"/>
      </font>
      <fill>
        <patternFill patternType="solid">
          <fgColor indexed="60"/>
          <bgColor indexed="10"/>
        </patternFill>
      </fill>
    </dxf>
    <dxf>
      <font>
        <b/>
        <i val="0"/>
        <condense val="0"/>
        <extend val="0"/>
      </font>
      <fill>
        <patternFill patternType="solid">
          <fgColor indexed="44"/>
          <bgColor indexed="22"/>
        </patternFill>
      </fill>
    </dxf>
    <dxf>
      <font>
        <b/>
        <i val="0"/>
        <condense val="0"/>
        <extend val="0"/>
      </font>
      <fill>
        <patternFill patternType="solid">
          <fgColor indexed="46"/>
          <bgColor indexed="55"/>
        </patternFill>
      </fill>
      <border>
        <left/>
        <right/>
        <top style="thin">
          <color indexed="8"/>
        </top>
        <bottom/>
      </border>
    </dxf>
    <dxf>
      <font>
        <b/>
        <i val="0"/>
        <color rgb="FFFF0000"/>
      </font>
    </dxf>
    <dxf>
      <font>
        <b/>
        <i val="0"/>
        <condense val="0"/>
        <extend val="0"/>
      </font>
      <fill>
        <patternFill patternType="solid">
          <fgColor indexed="44"/>
          <bgColor indexed="22"/>
        </patternFill>
      </fill>
    </dxf>
    <dxf>
      <font>
        <b/>
        <i val="0"/>
        <condense val="0"/>
        <extend val="0"/>
      </font>
      <fill>
        <patternFill patternType="solid">
          <fgColor indexed="46"/>
          <bgColor indexed="55"/>
        </patternFill>
      </fill>
      <border>
        <top style="thin">
          <color indexed="64"/>
        </top>
      </border>
    </dxf>
    <dxf>
      <font>
        <b val="0"/>
        <condense val="0"/>
        <extend val="0"/>
        <color indexed="9"/>
      </font>
      <fill>
        <patternFill patternType="none">
          <fgColor indexed="64"/>
          <bgColor indexed="65"/>
        </patternFill>
      </fill>
      <border>
        <left/>
        <right/>
        <top/>
        <bottom/>
      </border>
    </dxf>
    <dxf>
      <font>
        <b val="0"/>
        <condense val="0"/>
        <extend val="0"/>
        <color indexed="22"/>
      </font>
      <fill>
        <patternFill patternType="solid">
          <fgColor indexed="44"/>
          <bgColor indexed="22"/>
        </patternFill>
      </fill>
    </dxf>
    <dxf>
      <font>
        <b val="0"/>
        <condense val="0"/>
        <extend val="0"/>
        <color indexed="55"/>
      </font>
      <fill>
        <patternFill patternType="solid">
          <fgColor indexed="46"/>
          <bgColor indexed="55"/>
        </patternFill>
      </fill>
      <border>
        <top style="thin">
          <color indexed="64"/>
        </top>
      </border>
    </dxf>
    <dxf>
      <font>
        <b val="0"/>
        <condense val="0"/>
        <extend val="0"/>
        <color indexed="9"/>
      </font>
      <fill>
        <patternFill patternType="none">
          <fgColor indexed="64"/>
          <bgColor indexed="65"/>
        </patternFill>
      </fill>
      <border>
        <left/>
        <right/>
        <top/>
        <bottom/>
      </border>
    </dxf>
    <dxf>
      <font>
        <b val="0"/>
        <condense val="0"/>
        <extend val="0"/>
        <color indexed="22"/>
      </font>
      <fill>
        <patternFill patternType="solid">
          <fgColor indexed="44"/>
          <bgColor indexed="22"/>
        </patternFill>
      </fill>
    </dxf>
    <dxf>
      <font>
        <b val="0"/>
        <condense val="0"/>
        <extend val="0"/>
        <color indexed="55"/>
      </font>
      <fill>
        <patternFill patternType="solid">
          <fgColor indexed="46"/>
          <bgColor indexed="55"/>
        </patternFill>
      </fill>
      <border>
        <top style="thin">
          <color indexed="64"/>
        </top>
      </border>
    </dxf>
    <dxf>
      <font>
        <b val="0"/>
        <condense val="0"/>
        <extend val="0"/>
        <color indexed="9"/>
      </font>
      <fill>
        <patternFill patternType="none">
          <fgColor indexed="64"/>
          <bgColor indexed="65"/>
        </patternFill>
      </fill>
      <border>
        <left/>
        <right/>
        <top/>
        <bottom/>
      </border>
    </dxf>
    <dxf>
      <font>
        <b val="0"/>
        <condense val="0"/>
        <extend val="0"/>
        <color indexed="22"/>
      </font>
      <fill>
        <patternFill patternType="solid">
          <fgColor indexed="44"/>
          <bgColor indexed="22"/>
        </patternFill>
      </fill>
    </dxf>
    <dxf>
      <font>
        <b val="0"/>
        <condense val="0"/>
        <extend val="0"/>
        <color indexed="55"/>
      </font>
      <fill>
        <patternFill patternType="solid">
          <fgColor indexed="46"/>
          <bgColor indexed="55"/>
        </patternFill>
      </fill>
      <border>
        <top style="thin">
          <color indexed="64"/>
        </top>
      </border>
    </dxf>
    <dxf>
      <font>
        <b val="0"/>
        <condense val="0"/>
        <extend val="0"/>
        <color indexed="9"/>
      </font>
      <fill>
        <patternFill patternType="none">
          <fgColor indexed="64"/>
          <bgColor indexed="65"/>
        </patternFill>
      </fill>
    </dxf>
    <dxf>
      <font>
        <b val="0"/>
        <condense val="0"/>
        <extend val="0"/>
        <color indexed="22"/>
      </font>
      <fill>
        <patternFill patternType="solid">
          <fgColor indexed="44"/>
          <bgColor indexed="22"/>
        </patternFill>
      </fill>
    </dxf>
    <dxf>
      <font>
        <b val="0"/>
        <condense val="0"/>
        <extend val="0"/>
        <color indexed="55"/>
      </font>
      <fill>
        <patternFill patternType="solid">
          <fgColor indexed="46"/>
          <bgColor indexed="55"/>
        </patternFill>
      </fill>
      <border>
        <left/>
        <right/>
        <top style="thin">
          <color indexed="8"/>
        </top>
        <bottom/>
      </border>
    </dxf>
    <dxf>
      <font>
        <b/>
        <i val="0"/>
        <condense val="0"/>
        <extend val="0"/>
      </font>
      <fill>
        <patternFill patternType="solid">
          <fgColor indexed="44"/>
          <bgColor indexed="22"/>
        </patternFill>
      </fill>
    </dxf>
    <dxf>
      <font>
        <b/>
        <i val="0"/>
        <condense val="0"/>
        <extend val="0"/>
      </font>
      <fill>
        <patternFill patternType="solid">
          <fgColor indexed="46"/>
          <bgColor indexed="55"/>
        </patternFill>
      </fill>
      <border>
        <left/>
        <right/>
        <top style="thin">
          <color indexed="8"/>
        </top>
        <bottom/>
      </border>
    </dxf>
    <dxf>
      <font>
        <b/>
        <i val="0"/>
        <condense val="0"/>
        <extend val="0"/>
        <color indexed="9"/>
      </font>
      <fill>
        <patternFill patternType="solid">
          <fgColor indexed="60"/>
          <bgColor indexed="10"/>
        </patternFill>
      </fill>
    </dxf>
    <dxf>
      <font>
        <b val="0"/>
        <condense val="0"/>
        <extend val="0"/>
        <color indexed="22"/>
      </font>
      <fill>
        <patternFill patternType="solid">
          <fgColor indexed="44"/>
          <bgColor indexed="22"/>
        </patternFill>
      </fill>
    </dxf>
    <dxf>
      <font>
        <b val="0"/>
        <condense val="0"/>
        <extend val="0"/>
        <color indexed="55"/>
      </font>
      <fill>
        <patternFill patternType="solid">
          <fgColor indexed="46"/>
          <bgColor indexed="55"/>
        </patternFill>
      </fill>
      <border>
        <top style="thin">
          <color indexed="64"/>
        </top>
      </border>
    </dxf>
    <dxf>
      <font>
        <b/>
        <i val="0"/>
        <color rgb="FF0070C0"/>
      </font>
    </dxf>
    <dxf>
      <font>
        <b/>
        <i val="0"/>
        <condense val="0"/>
        <extend val="0"/>
      </font>
      <fill>
        <patternFill patternType="solid">
          <fgColor indexed="44"/>
          <bgColor indexed="22"/>
        </patternFill>
      </fill>
    </dxf>
    <dxf>
      <font>
        <b/>
        <i val="0"/>
        <condense val="0"/>
        <extend val="0"/>
      </font>
      <fill>
        <patternFill patternType="solid">
          <fgColor indexed="46"/>
          <bgColor indexed="55"/>
        </patternFill>
      </fill>
      <border>
        <left/>
        <right/>
        <top style="thin">
          <color indexed="8"/>
        </top>
        <bottom/>
      </border>
    </dxf>
    <dxf>
      <font>
        <b/>
        <i val="0"/>
        <color rgb="FFFF0000"/>
      </font>
    </dxf>
    <dxf>
      <font>
        <b/>
        <i val="0"/>
        <condense val="0"/>
        <extend val="0"/>
      </font>
      <fill>
        <patternFill patternType="solid">
          <fgColor indexed="44"/>
          <bgColor indexed="22"/>
        </patternFill>
      </fill>
    </dxf>
    <dxf>
      <font>
        <b/>
        <i val="0"/>
        <condense val="0"/>
        <extend val="0"/>
      </font>
      <fill>
        <patternFill patternType="solid">
          <fgColor indexed="46"/>
          <bgColor indexed="55"/>
        </patternFill>
      </fill>
      <border>
        <top style="thin">
          <color indexed="64"/>
        </top>
      </border>
    </dxf>
    <dxf>
      <font>
        <b val="0"/>
        <condense val="0"/>
        <extend val="0"/>
        <color indexed="9"/>
      </font>
      <fill>
        <patternFill patternType="none">
          <fgColor indexed="64"/>
          <bgColor indexed="65"/>
        </patternFill>
      </fill>
      <border>
        <left/>
        <right/>
        <top/>
        <bottom/>
      </border>
    </dxf>
    <dxf>
      <border>
        <top style="thin">
          <color indexed="64"/>
        </top>
      </border>
    </dxf>
    <dxf>
      <border>
        <left style="thin">
          <color indexed="8"/>
        </left>
        <right style="thin">
          <color indexed="8"/>
        </right>
        <top/>
        <bottom/>
      </border>
    </dxf>
    <dxf>
      <font>
        <b/>
        <i val="0"/>
        <condense val="0"/>
        <extend val="0"/>
        <color indexed="10"/>
      </font>
    </dxf>
    <dxf>
      <font>
        <b val="0"/>
        <condense val="0"/>
        <extend val="0"/>
        <color indexed="22"/>
      </font>
      <fill>
        <patternFill patternType="solid">
          <fgColor indexed="44"/>
          <bgColor indexed="22"/>
        </patternFill>
      </fill>
    </dxf>
    <dxf>
      <font>
        <b val="0"/>
        <condense val="0"/>
        <extend val="0"/>
        <color indexed="55"/>
      </font>
      <fill>
        <patternFill patternType="solid">
          <fgColor indexed="46"/>
          <bgColor indexed="55"/>
        </patternFill>
      </fill>
      <border>
        <top style="thin">
          <color indexed="64"/>
        </top>
      </border>
    </dxf>
    <dxf>
      <font>
        <b val="0"/>
        <condense val="0"/>
        <extend val="0"/>
        <color indexed="9"/>
      </font>
      <fill>
        <patternFill patternType="none">
          <fgColor indexed="64"/>
          <bgColor indexed="65"/>
        </patternFill>
      </fill>
      <border>
        <left/>
        <right/>
        <top/>
        <bottom/>
      </border>
    </dxf>
    <dxf>
      <font>
        <b val="0"/>
        <condense val="0"/>
        <extend val="0"/>
        <color indexed="22"/>
      </font>
      <fill>
        <patternFill patternType="solid">
          <fgColor indexed="44"/>
          <bgColor indexed="22"/>
        </patternFill>
      </fill>
    </dxf>
    <dxf>
      <font>
        <b val="0"/>
        <condense val="0"/>
        <extend val="0"/>
        <color indexed="55"/>
      </font>
      <fill>
        <patternFill patternType="solid">
          <fgColor indexed="46"/>
          <bgColor indexed="55"/>
        </patternFill>
      </fill>
      <border>
        <top style="thin">
          <color indexed="64"/>
        </top>
      </border>
    </dxf>
    <dxf>
      <font>
        <b val="0"/>
        <condense val="0"/>
        <extend val="0"/>
        <color indexed="9"/>
      </font>
      <fill>
        <patternFill patternType="none">
          <fgColor indexed="64"/>
          <bgColor indexed="65"/>
        </patternFill>
      </fill>
      <border>
        <left/>
        <right/>
        <top/>
        <bottom/>
      </border>
    </dxf>
    <dxf>
      <font>
        <b val="0"/>
        <condense val="0"/>
        <extend val="0"/>
        <color indexed="22"/>
      </font>
      <fill>
        <patternFill patternType="solid">
          <fgColor indexed="44"/>
          <bgColor indexed="22"/>
        </patternFill>
      </fill>
    </dxf>
    <dxf>
      <font>
        <b val="0"/>
        <condense val="0"/>
        <extend val="0"/>
        <color indexed="55"/>
      </font>
      <fill>
        <patternFill patternType="solid">
          <fgColor indexed="46"/>
          <bgColor indexed="55"/>
        </patternFill>
      </fill>
      <border>
        <top style="thin">
          <color indexed="64"/>
        </top>
      </border>
    </dxf>
    <dxf>
      <font>
        <b val="0"/>
        <condense val="0"/>
        <extend val="0"/>
        <color indexed="9"/>
      </font>
      <fill>
        <patternFill patternType="none">
          <fgColor indexed="64"/>
          <bgColor indexed="65"/>
        </patternFill>
      </fill>
    </dxf>
    <dxf>
      <font>
        <b val="0"/>
        <condense val="0"/>
        <extend val="0"/>
        <color indexed="22"/>
      </font>
      <fill>
        <patternFill patternType="solid">
          <fgColor indexed="44"/>
          <bgColor indexed="22"/>
        </patternFill>
      </fill>
    </dxf>
    <dxf>
      <font>
        <b val="0"/>
        <condense val="0"/>
        <extend val="0"/>
        <color indexed="55"/>
      </font>
      <fill>
        <patternFill patternType="solid">
          <fgColor indexed="46"/>
          <bgColor indexed="55"/>
        </patternFill>
      </fill>
      <border>
        <left/>
        <right/>
        <top style="thin">
          <color indexed="8"/>
        </top>
        <bottom/>
      </border>
    </dxf>
    <dxf>
      <font>
        <b/>
        <i val="0"/>
        <condense val="0"/>
        <extend val="0"/>
      </font>
      <fill>
        <patternFill patternType="solid">
          <fgColor indexed="44"/>
          <bgColor indexed="22"/>
        </patternFill>
      </fill>
    </dxf>
    <dxf>
      <font>
        <b/>
        <i val="0"/>
        <condense val="0"/>
        <extend val="0"/>
      </font>
      <fill>
        <patternFill patternType="solid">
          <fgColor indexed="46"/>
          <bgColor indexed="55"/>
        </patternFill>
      </fill>
      <border>
        <left/>
        <right/>
        <top style="thin">
          <color indexed="8"/>
        </top>
        <bottom/>
      </border>
    </dxf>
    <dxf>
      <font>
        <b/>
        <i val="0"/>
        <condense val="0"/>
        <extend val="0"/>
        <color indexed="9"/>
      </font>
      <fill>
        <patternFill patternType="solid">
          <fgColor indexed="60"/>
          <bgColor indexed="10"/>
        </patternFill>
      </fill>
    </dxf>
    <dxf>
      <font>
        <b/>
        <i val="0"/>
        <condense val="0"/>
        <extend val="0"/>
      </font>
    </dxf>
    <dxf>
      <font>
        <b val="0"/>
        <condense val="0"/>
        <extend val="0"/>
        <color indexed="17"/>
      </font>
      <border>
        <left style="thin">
          <color indexed="8"/>
        </left>
        <right style="thin">
          <color indexed="8"/>
        </right>
        <top style="thin">
          <color indexed="8"/>
        </top>
        <bottom style="thin">
          <color indexed="8"/>
        </bottom>
      </border>
    </dxf>
    <dxf>
      <font>
        <b val="0"/>
        <condense val="0"/>
        <extend val="0"/>
        <color indexed="10"/>
      </font>
      <border>
        <left style="thin">
          <color indexed="8"/>
        </left>
        <right style="thin">
          <color indexed="8"/>
        </right>
        <top style="thin">
          <color indexed="8"/>
        </top>
        <bottom style="thin">
          <color indexed="8"/>
        </bottom>
      </border>
    </dxf>
    <dxf>
      <font>
        <b/>
        <i val="0"/>
        <condense val="0"/>
        <extend val="0"/>
        <color indexed="9"/>
      </font>
      <fill>
        <patternFill patternType="none">
          <fgColor indexed="64"/>
          <bgColor indexed="65"/>
        </patternFill>
      </fill>
      <border>
        <left/>
        <right/>
        <top style="thin">
          <color indexed="64"/>
        </top>
        <bottom/>
      </border>
    </dxf>
    <dxf>
      <font>
        <b val="0"/>
        <condense val="0"/>
        <extend val="0"/>
        <color indexed="9"/>
      </font>
      <fill>
        <patternFill patternType="none">
          <fgColor indexed="64"/>
          <bgColor indexed="65"/>
        </patternFill>
      </fill>
      <border>
        <left/>
        <right/>
        <top/>
        <bottom/>
      </border>
    </dxf>
    <dxf>
      <font>
        <b val="0"/>
        <condense val="0"/>
        <extend val="0"/>
        <color indexed="9"/>
      </font>
      <fill>
        <patternFill patternType="none">
          <fgColor indexed="64"/>
          <bgColor indexed="65"/>
        </patternFill>
      </fill>
    </dxf>
    <dxf>
      <font>
        <b val="0"/>
        <condense val="0"/>
        <extend val="0"/>
        <color indexed="10"/>
      </font>
    </dxf>
    <dxf>
      <font>
        <b val="0"/>
        <condense val="0"/>
        <extend val="0"/>
        <color indexed="10"/>
      </font>
    </dxf>
    <dxf>
      <font>
        <color rgb="FFC0C0C0"/>
      </font>
      <fill>
        <patternFill>
          <bgColor rgb="FFC0C0C0"/>
        </patternFill>
      </fill>
      <border>
        <left/>
        <right/>
        <top/>
        <bottom/>
      </border>
    </dxf>
    <dxf>
      <font>
        <color rgb="FFC0C0C0"/>
      </font>
      <fill>
        <patternFill>
          <bgColor rgb="FFC0C0C0"/>
        </patternFill>
      </fill>
      <border>
        <left/>
        <right/>
        <top/>
        <bottom/>
      </border>
    </dxf>
    <dxf>
      <font>
        <color rgb="FFC0C0C0"/>
      </font>
      <fill>
        <patternFill>
          <bgColor rgb="FFC0C0C0"/>
        </patternFill>
      </fill>
      <border>
        <left/>
        <right/>
        <top/>
        <bottom/>
      </border>
    </dxf>
    <dxf>
      <font>
        <color rgb="FFC0C0C0"/>
      </font>
      <fill>
        <patternFill>
          <bgColor rgb="FFC0C0C0"/>
        </patternFill>
      </fill>
      <border>
        <left/>
        <right/>
        <top/>
        <bottom/>
      </border>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F2F2FF"/>
      <rgbColor rgb="00DFDFDF"/>
      <rgbColor rgb="00FFFF99"/>
      <rgbColor rgb="00BFBFBF"/>
      <rgbColor rgb="00FF99CC"/>
      <rgbColor rgb="00A7A7A7"/>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99"/>
      <color rgb="FFC0C0C0"/>
      <color rgb="FFCCCCFF"/>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eetMetadata" Target="metadata.xml"/></Relationships>
</file>

<file path=xl/ctrlProps/ctrlProp1.xml><?xml version="1.0" encoding="utf-8"?>
<formControlPr xmlns="http://schemas.microsoft.com/office/spreadsheetml/2009/9/main" objectType="GBox" noThreeD="1"/>
</file>

<file path=xl/ctrlProps/ctrlProp10.xml><?xml version="1.0" encoding="utf-8"?>
<formControlPr xmlns="http://schemas.microsoft.com/office/spreadsheetml/2009/9/main" objectType="CheckBox" checked="Checked" fmlaLink="$AF$10"/>
</file>

<file path=xl/ctrlProps/ctrlProp11.xml><?xml version="1.0" encoding="utf-8"?>
<formControlPr xmlns="http://schemas.microsoft.com/office/spreadsheetml/2009/9/main" objectType="CheckBox" checked="Checked" fmlaLink="$AF$11"/>
</file>

<file path=xl/ctrlProps/ctrlProp12.xml><?xml version="1.0" encoding="utf-8"?>
<formControlPr xmlns="http://schemas.microsoft.com/office/spreadsheetml/2009/9/main" objectType="Spin" dx="15" fmlaLink="$J$9" max="30000" min="1" page="10"/>
</file>

<file path=xl/ctrlProps/ctrlProp13.xml><?xml version="1.0" encoding="utf-8"?>
<formControlPr xmlns="http://schemas.microsoft.com/office/spreadsheetml/2009/9/main" objectType="CheckBox" checked="Checked" fmlaLink="$A$9" noThreeD="1"/>
</file>

<file path=xl/ctrlProps/ctrlProp14.xml><?xml version="1.0" encoding="utf-8"?>
<formControlPr xmlns="http://schemas.microsoft.com/office/spreadsheetml/2009/9/main" objectType="Spin" dx="15" fmlaLink="$O$8" max="30000" min="1" page="10"/>
</file>

<file path=xl/ctrlProps/ctrlProp2.xml><?xml version="1.0" encoding="utf-8"?>
<formControlPr xmlns="http://schemas.microsoft.com/office/spreadsheetml/2009/9/main" objectType="Drop" dropStyle="combo" dx="26" fmlaLink="$O$4" fmlaRange="$J$7:$J$8" noThreeD="1" sel="2" val="0"/>
</file>

<file path=xl/ctrlProps/ctrlProp3.xml><?xml version="1.0" encoding="utf-8"?>
<formControlPr xmlns="http://schemas.microsoft.com/office/spreadsheetml/2009/9/main" objectType="GBox" noThreeD="1"/>
</file>

<file path=xl/ctrlProps/ctrlProp4.xml><?xml version="1.0" encoding="utf-8"?>
<formControlPr xmlns="http://schemas.microsoft.com/office/spreadsheetml/2009/9/main" objectType="Drop" dropStyle="combo" dx="26" fmlaLink="$O$3" fmlaRange="$J$5:$J$6" noThreeD="1" sel="1" val="0"/>
</file>

<file path=xl/ctrlProps/ctrlProp5.xml><?xml version="1.0" encoding="utf-8"?>
<formControlPr xmlns="http://schemas.microsoft.com/office/spreadsheetml/2009/9/main" objectType="CheckBox" checked="Checked" fmlaLink="MENU.Import.Form.PreçoUnit" lockText="1" noThreeD="1"/>
</file>

<file path=xl/ctrlProps/ctrlProp6.xml><?xml version="1.0" encoding="utf-8"?>
<formControlPr xmlns="http://schemas.microsoft.com/office/spreadsheetml/2009/9/main" objectType="CheckBox" checked="Checked" fmlaLink="MENU.Import.Form.PLQ" lockText="1" noThreeD="1"/>
</file>

<file path=xl/ctrlProps/ctrlProp7.xml><?xml version="1.0" encoding="utf-8"?>
<formControlPr xmlns="http://schemas.microsoft.com/office/spreadsheetml/2009/9/main" objectType="CheckBox" checked="Checked" fmlaLink="$AF$7"/>
</file>

<file path=xl/ctrlProps/ctrlProp8.xml><?xml version="1.0" encoding="utf-8"?>
<formControlPr xmlns="http://schemas.microsoft.com/office/spreadsheetml/2009/9/main" objectType="CheckBox" checked="Checked" fmlaLink="$AF$8"/>
</file>

<file path=xl/ctrlProps/ctrlProp9.xml><?xml version="1.0" encoding="utf-8"?>
<formControlPr xmlns="http://schemas.microsoft.com/office/spreadsheetml/2009/9/main" objectType="CheckBox" checked="Checked" fmlaLink="$AF$9"/>
</file>

<file path=xl/drawings/_rels/drawing1.xml.rels><?xml version="1.0" encoding="UTF-8" standalone="yes"?>
<Relationships xmlns="http://schemas.openxmlformats.org/package/2006/relationships"><Relationship Id="rId1" Type="http://schemas.openxmlformats.org/officeDocument/2006/relationships/hyperlink" Target="#Menu!E6"/></Relationships>
</file>

<file path=xl/drawings/_rels/drawing10.xml.rels><?xml version="1.0" encoding="UTF-8" standalone="yes"?>
<Relationships xmlns="http://schemas.openxmlformats.org/package/2006/relationships"><Relationship Id="rId3" Type="http://schemas.openxmlformats.org/officeDocument/2006/relationships/hyperlink" Target="#DADOS!E21"/><Relationship Id="rId2" Type="http://schemas.openxmlformats.org/officeDocument/2006/relationships/image" Target="../media/image2.emf"/><Relationship Id="rId1" Type="http://schemas.openxmlformats.org/officeDocument/2006/relationships/hyperlink" Target="#Menu!E6"/></Relationships>
</file>

<file path=xl/drawings/_rels/drawing11.xml.rels><?xml version="1.0" encoding="UTF-8" standalone="yes"?>
<Relationships xmlns="http://schemas.openxmlformats.org/package/2006/relationships"><Relationship Id="rId3" Type="http://schemas.openxmlformats.org/officeDocument/2006/relationships/hyperlink" Target="#RRE!E13"/><Relationship Id="rId2" Type="http://schemas.openxmlformats.org/officeDocument/2006/relationships/hyperlink" Target="#C&#193;LCULO!D13"/><Relationship Id="rId1" Type="http://schemas.openxmlformats.org/officeDocument/2006/relationships/hyperlink" Target="#Menu!E6"/><Relationship Id="rId5" Type="http://schemas.openxmlformats.org/officeDocument/2006/relationships/hyperlink" Target="#CRONOPLE!G15"/><Relationship Id="rId4" Type="http://schemas.openxmlformats.org/officeDocument/2006/relationships/image" Target="../media/image2.emf"/></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CRONO!T14"/><Relationship Id="rId1" Type="http://schemas.openxmlformats.org/officeDocument/2006/relationships/hyperlink" Target="#Menu!E6"/><Relationship Id="rId5" Type="http://schemas.openxmlformats.org/officeDocument/2006/relationships/hyperlink" Target="#DADOS!F40"/><Relationship Id="rId4" Type="http://schemas.openxmlformats.org/officeDocument/2006/relationships/hyperlink" Target="#RRE!E13"/></Relationships>
</file>

<file path=xl/drawings/_rels/drawing13.xml.rels><?xml version="1.0" encoding="UTF-8" standalone="yes"?>
<Relationships xmlns="http://schemas.openxmlformats.org/package/2006/relationships"><Relationship Id="rId3" Type="http://schemas.openxmlformats.org/officeDocument/2006/relationships/hyperlink" Target="#Of&#237;cio!C6"/><Relationship Id="rId2" Type="http://schemas.openxmlformats.org/officeDocument/2006/relationships/image" Target="../media/image2.emf"/><Relationship Id="rId1" Type="http://schemas.openxmlformats.org/officeDocument/2006/relationships/hyperlink" Target="#Menu!E6"/></Relationships>
</file>

<file path=xl/drawings/_rels/drawing14.xml.rels><?xml version="1.0" encoding="UTF-8" standalone="yes"?>
<Relationships xmlns="http://schemas.openxmlformats.org/package/2006/relationships"><Relationship Id="rId3" Type="http://schemas.openxmlformats.org/officeDocument/2006/relationships/hyperlink" Target="#Menu!E6"/><Relationship Id="rId2" Type="http://schemas.openxmlformats.org/officeDocument/2006/relationships/hyperlink" Target="#RRE!E13"/><Relationship Id="rId1" Type="http://schemas.openxmlformats.org/officeDocument/2006/relationships/hyperlink" Target="#DADOS!E46"/></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2" Type="http://schemas.openxmlformats.org/officeDocument/2006/relationships/hyperlink" Target="#BDI!J14"/><Relationship Id="rId1" Type="http://schemas.openxmlformats.org/officeDocument/2006/relationships/hyperlink" Target="#Menu!E6"/></Relationships>
</file>

<file path=xl/drawings/_rels/drawing4.xml.rels><?xml version="1.0" encoding="UTF-8" standalone="yes"?>
<Relationships xmlns="http://schemas.openxmlformats.org/package/2006/relationships"><Relationship Id="rId3" Type="http://schemas.openxmlformats.org/officeDocument/2006/relationships/hyperlink" Target="#OR&#199;AMENTO!M13"/><Relationship Id="rId2" Type="http://schemas.openxmlformats.org/officeDocument/2006/relationships/hyperlink" Target="#Menu!E6"/><Relationship Id="rId1" Type="http://schemas.openxmlformats.org/officeDocument/2006/relationships/image" Target="../media/image2.emf"/></Relationships>
</file>

<file path=xl/drawings/_rels/drawing5.xml.rels><?xml version="1.0" encoding="UTF-8" standalone="yes"?>
<Relationships xmlns="http://schemas.openxmlformats.org/package/2006/relationships"><Relationship Id="rId3" Type="http://schemas.openxmlformats.org/officeDocument/2006/relationships/hyperlink" Target="#BDI!J14"/><Relationship Id="rId2" Type="http://schemas.openxmlformats.org/officeDocument/2006/relationships/hyperlink" Target="#Menu!E6"/><Relationship Id="rId1" Type="http://schemas.openxmlformats.org/officeDocument/2006/relationships/image" Target="../media/image2.emf"/><Relationship Id="rId4" Type="http://schemas.openxmlformats.org/officeDocument/2006/relationships/hyperlink" Target="#C&#193;LCULO!I16"/></Relationships>
</file>

<file path=xl/drawings/_rels/drawing6.xml.rels><?xml version="1.0" encoding="UTF-8" standalone="yes"?>
<Relationships xmlns="http://schemas.openxmlformats.org/package/2006/relationships"><Relationship Id="rId3" Type="http://schemas.openxmlformats.org/officeDocument/2006/relationships/hyperlink" Target="#Menu!E6"/><Relationship Id="rId2" Type="http://schemas.openxmlformats.org/officeDocument/2006/relationships/image" Target="../media/image2.emf"/><Relationship Id="rId1" Type="http://schemas.openxmlformats.org/officeDocument/2006/relationships/hyperlink" Target="#C&#193;LCULO!A1"/><Relationship Id="rId4" Type="http://schemas.openxmlformats.org/officeDocument/2006/relationships/hyperlink" Target="#OR&#199;AMENTO!M13"/></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OR&#199;AMENTO!M13"/><Relationship Id="rId1" Type="http://schemas.openxmlformats.org/officeDocument/2006/relationships/hyperlink" Target="#Menu!E6"/></Relationships>
</file>

<file path=xl/drawings/_rels/drawing8.xml.rels><?xml version="1.0" encoding="UTF-8" standalone="yes"?>
<Relationships xmlns="http://schemas.openxmlformats.org/package/2006/relationships"><Relationship Id="rId3" Type="http://schemas.openxmlformats.org/officeDocument/2006/relationships/hyperlink" Target="#Menu!E6"/><Relationship Id="rId2" Type="http://schemas.openxmlformats.org/officeDocument/2006/relationships/image" Target="../media/image2.emf"/><Relationship Id="rId1" Type="http://schemas.openxmlformats.org/officeDocument/2006/relationships/hyperlink" Target="#EVENTOS!D15"/><Relationship Id="rId5" Type="http://schemas.openxmlformats.org/officeDocument/2006/relationships/hyperlink" Target="#C&#193;LCULO!Q12"/><Relationship Id="rId4" Type="http://schemas.openxmlformats.org/officeDocument/2006/relationships/hyperlink" Target="#CRONO!E7"/></Relationships>
</file>

<file path=xl/drawings/_rels/drawing9.xml.rels><?xml version="1.0" encoding="UTF-8" standalone="yes"?>
<Relationships xmlns="http://schemas.openxmlformats.org/package/2006/relationships"><Relationship Id="rId3" Type="http://schemas.openxmlformats.org/officeDocument/2006/relationships/hyperlink" Target="#QCI!H13"/><Relationship Id="rId2" Type="http://schemas.openxmlformats.org/officeDocument/2006/relationships/image" Target="../media/image2.emf"/><Relationship Id="rId1" Type="http://schemas.openxmlformats.org/officeDocument/2006/relationships/hyperlink" Target="#Menu!E6"/><Relationship Id="rId4" Type="http://schemas.openxmlformats.org/officeDocument/2006/relationships/hyperlink" Target="#OR&#199;AMENTO!T16"/></Relationships>
</file>

<file path=xl/drawings/drawing1.xml><?xml version="1.0" encoding="utf-8"?>
<xdr:wsDr xmlns:xdr="http://schemas.openxmlformats.org/drawingml/2006/spreadsheetDrawing" xmlns:a="http://schemas.openxmlformats.org/drawingml/2006/main">
  <xdr:twoCellAnchor>
    <xdr:from>
      <xdr:col>0</xdr:col>
      <xdr:colOff>104775</xdr:colOff>
      <xdr:row>0</xdr:row>
      <xdr:rowOff>76200</xdr:rowOff>
    </xdr:from>
    <xdr:to>
      <xdr:col>1</xdr:col>
      <xdr:colOff>102923</xdr:colOff>
      <xdr:row>2</xdr:row>
      <xdr:rowOff>49540</xdr:rowOff>
    </xdr:to>
    <xdr:sp macro="" textlink="">
      <xdr:nvSpPr>
        <xdr:cNvPr id="3073" name="AutoShape 67">
          <a:hlinkClick xmlns:r="http://schemas.openxmlformats.org/officeDocument/2006/relationships" r:id="rId1"/>
          <a:extLst>
            <a:ext uri="{FF2B5EF4-FFF2-40B4-BE49-F238E27FC236}">
              <a16:creationId xmlns:a16="http://schemas.microsoft.com/office/drawing/2014/main" id="{00000000-0008-0000-0000-0000010C0000}"/>
            </a:ext>
          </a:extLst>
        </xdr:cNvPr>
        <xdr:cNvSpPr>
          <a:spLocks noChangeArrowheads="1"/>
        </xdr:cNvSpPr>
      </xdr:nvSpPr>
      <xdr:spPr bwMode="auto">
        <a:xfrm>
          <a:off x="104775" y="76200"/>
          <a:ext cx="571500" cy="304800"/>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MENU</a:t>
          </a:r>
        </a:p>
      </xdr:txBody>
    </xdr:sp>
    <xdr:clientData fPrintsWithSheet="0"/>
  </xdr:twoCellAnchor>
</xdr:wsDr>
</file>

<file path=xl/drawings/drawing10.xml><?xml version="1.0" encoding="utf-8"?>
<xdr:wsDr xmlns:xdr="http://schemas.openxmlformats.org/drawingml/2006/spreadsheetDrawing" xmlns:a="http://schemas.openxmlformats.org/drawingml/2006/main">
  <xdr:twoCellAnchor>
    <xdr:from>
      <xdr:col>13</xdr:col>
      <xdr:colOff>116417</xdr:colOff>
      <xdr:row>7</xdr:row>
      <xdr:rowOff>140970</xdr:rowOff>
    </xdr:from>
    <xdr:to>
      <xdr:col>15</xdr:col>
      <xdr:colOff>2988</xdr:colOff>
      <xdr:row>10</xdr:row>
      <xdr:rowOff>148236</xdr:rowOff>
    </xdr:to>
    <xdr:sp macro="" textlink="" fLocksText="0">
      <xdr:nvSpPr>
        <xdr:cNvPr id="11268" name="AutoShape 317">
          <a:extLst>
            <a:ext uri="{FF2B5EF4-FFF2-40B4-BE49-F238E27FC236}">
              <a16:creationId xmlns:a16="http://schemas.microsoft.com/office/drawing/2014/main" id="{00000000-0008-0000-0900-0000042C0000}"/>
            </a:ext>
          </a:extLst>
        </xdr:cNvPr>
        <xdr:cNvSpPr>
          <a:spLocks noChangeArrowheads="1"/>
        </xdr:cNvSpPr>
      </xdr:nvSpPr>
      <xdr:spPr bwMode="auto">
        <a:xfrm>
          <a:off x="12096750" y="1361017"/>
          <a:ext cx="2116667" cy="491066"/>
        </a:xfrm>
        <a:prstGeom prst="wedgeRectCallout">
          <a:avLst>
            <a:gd name="adj1" fmla="val 121111"/>
            <a:gd name="adj2" fmla="val 52440"/>
          </a:avLst>
        </a:prstGeom>
        <a:solidFill>
          <a:srgbClr val="FFFF99"/>
        </a:solidFill>
        <a:ln w="9360">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2680" rIns="0" bIns="0" anchor="t"/>
        <a:lstStyle/>
        <a:p>
          <a:pPr algn="l" rtl="0">
            <a:defRPr sz="1000"/>
          </a:pPr>
          <a:r>
            <a:rPr lang="pt-BR" sz="1000" b="1" i="0" u="none" strike="noStrike" baseline="0">
              <a:solidFill>
                <a:srgbClr val="000000"/>
              </a:solidFill>
              <a:latin typeface="Arial"/>
              <a:cs typeface="Arial"/>
            </a:rPr>
            <a:t>Para inclusão de metas de outras Plan. Mult., digite a descrição e valores manualmente ao lado.</a:t>
          </a:r>
        </a:p>
      </xdr:txBody>
    </xdr:sp>
    <xdr:clientData fPrintsWithSheet="0"/>
  </xdr:twoCellAnchor>
  <xdr:twoCellAnchor>
    <xdr:from>
      <xdr:col>3</xdr:col>
      <xdr:colOff>38100</xdr:colOff>
      <xdr:row>8</xdr:row>
      <xdr:rowOff>9525</xdr:rowOff>
    </xdr:from>
    <xdr:to>
      <xdr:col>4</xdr:col>
      <xdr:colOff>58425</xdr:colOff>
      <xdr:row>10</xdr:row>
      <xdr:rowOff>1059</xdr:rowOff>
    </xdr:to>
    <xdr:sp macro="" textlink="">
      <xdr:nvSpPr>
        <xdr:cNvPr id="11269" name="AutoShape 67">
          <a:hlinkClick xmlns:r="http://schemas.openxmlformats.org/officeDocument/2006/relationships" r:id="rId1"/>
          <a:extLst>
            <a:ext uri="{FF2B5EF4-FFF2-40B4-BE49-F238E27FC236}">
              <a16:creationId xmlns:a16="http://schemas.microsoft.com/office/drawing/2014/main" id="{00000000-0008-0000-0900-0000052C0000}"/>
            </a:ext>
          </a:extLst>
        </xdr:cNvPr>
        <xdr:cNvSpPr>
          <a:spLocks noChangeArrowheads="1"/>
        </xdr:cNvSpPr>
      </xdr:nvSpPr>
      <xdr:spPr bwMode="auto">
        <a:xfrm>
          <a:off x="285750" y="1419225"/>
          <a:ext cx="468000" cy="315384"/>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MENU</a:t>
          </a:r>
        </a:p>
      </xdr:txBody>
    </xdr:sp>
    <xdr:clientData fPrintsWithSheet="0"/>
  </xdr:twoCellAnchor>
  <xdr:twoCellAnchor>
    <xdr:from>
      <xdr:col>4</xdr:col>
      <xdr:colOff>710354</xdr:colOff>
      <xdr:row>8</xdr:row>
      <xdr:rowOff>11430</xdr:rowOff>
    </xdr:from>
    <xdr:to>
      <xdr:col>5</xdr:col>
      <xdr:colOff>722579</xdr:colOff>
      <xdr:row>10</xdr:row>
      <xdr:rowOff>9710</xdr:rowOff>
    </xdr:to>
    <xdr:sp macro="[0]!Linhas.AddLinha" textlink="">
      <xdr:nvSpPr>
        <xdr:cNvPr id="11270" name="AutoShape 67">
          <a:extLst>
            <a:ext uri="{FF2B5EF4-FFF2-40B4-BE49-F238E27FC236}">
              <a16:creationId xmlns:a16="http://schemas.microsoft.com/office/drawing/2014/main" id="{00000000-0008-0000-0900-0000062C0000}"/>
            </a:ext>
          </a:extLst>
        </xdr:cNvPr>
        <xdr:cNvSpPr>
          <a:spLocks noChangeArrowheads="1"/>
        </xdr:cNvSpPr>
      </xdr:nvSpPr>
      <xdr:spPr bwMode="auto">
        <a:xfrm>
          <a:off x="1405679" y="1421130"/>
          <a:ext cx="1260000" cy="322130"/>
        </a:xfrm>
        <a:prstGeom prst="roundRect">
          <a:avLst>
            <a:gd name="adj" fmla="val 16667"/>
          </a:avLst>
        </a:prstGeom>
        <a:solidFill>
          <a:srgbClr val="FFCC99"/>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ADICIONAR LINHAS</a:t>
          </a:r>
        </a:p>
      </xdr:txBody>
    </xdr:sp>
    <xdr:clientData fPrintsWithSheet="0"/>
  </xdr:twoCellAnchor>
  <xdr:twoCellAnchor>
    <xdr:from>
      <xdr:col>5</xdr:col>
      <xdr:colOff>777246</xdr:colOff>
      <xdr:row>8</xdr:row>
      <xdr:rowOff>9525</xdr:rowOff>
    </xdr:from>
    <xdr:to>
      <xdr:col>5</xdr:col>
      <xdr:colOff>1893246</xdr:colOff>
      <xdr:row>10</xdr:row>
      <xdr:rowOff>1059</xdr:rowOff>
    </xdr:to>
    <xdr:sp macro="[0]!Linhas.ExcLinhas" textlink="">
      <xdr:nvSpPr>
        <xdr:cNvPr id="11271" name="AutoShape 67">
          <a:extLst>
            <a:ext uri="{FF2B5EF4-FFF2-40B4-BE49-F238E27FC236}">
              <a16:creationId xmlns:a16="http://schemas.microsoft.com/office/drawing/2014/main" id="{00000000-0008-0000-0900-0000072C0000}"/>
            </a:ext>
          </a:extLst>
        </xdr:cNvPr>
        <xdr:cNvSpPr>
          <a:spLocks noChangeArrowheads="1"/>
        </xdr:cNvSpPr>
      </xdr:nvSpPr>
      <xdr:spPr bwMode="auto">
        <a:xfrm>
          <a:off x="2720346" y="1419225"/>
          <a:ext cx="1116000" cy="315384"/>
        </a:xfrm>
        <a:prstGeom prst="roundRect">
          <a:avLst>
            <a:gd name="adj" fmla="val 16667"/>
          </a:avLst>
        </a:prstGeom>
        <a:solidFill>
          <a:srgbClr val="FFCC99"/>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EXCLUIR LINHAS</a:t>
          </a:r>
        </a:p>
      </xdr:txBody>
    </xdr:sp>
    <xdr:clientData fPrintsWithSheet="0"/>
  </xdr:twoCellAnchor>
  <xdr:twoCellAnchor>
    <xdr:from>
      <xdr:col>7</xdr:col>
      <xdr:colOff>904237</xdr:colOff>
      <xdr:row>8</xdr:row>
      <xdr:rowOff>9525</xdr:rowOff>
    </xdr:from>
    <xdr:to>
      <xdr:col>9</xdr:col>
      <xdr:colOff>485820</xdr:colOff>
      <xdr:row>10</xdr:row>
      <xdr:rowOff>3175</xdr:rowOff>
    </xdr:to>
    <xdr:sp macro="[0]!cpQCItoCR" textlink="">
      <xdr:nvSpPr>
        <xdr:cNvPr id="7" name="AutoShape 67">
          <a:extLst>
            <a:ext uri="{FF2B5EF4-FFF2-40B4-BE49-F238E27FC236}">
              <a16:creationId xmlns:a16="http://schemas.microsoft.com/office/drawing/2014/main" id="{00000000-0008-0000-0900-000007000000}"/>
            </a:ext>
          </a:extLst>
        </xdr:cNvPr>
        <xdr:cNvSpPr>
          <a:spLocks noChangeArrowheads="1"/>
        </xdr:cNvSpPr>
      </xdr:nvSpPr>
      <xdr:spPr bwMode="auto">
        <a:xfrm>
          <a:off x="7137820" y="1395942"/>
          <a:ext cx="1476000" cy="311150"/>
        </a:xfrm>
        <a:prstGeom prst="roundRect">
          <a:avLst>
            <a:gd name="adj" fmla="val 16667"/>
          </a:avLst>
        </a:prstGeom>
        <a:solidFill>
          <a:srgbClr val="FFCC99"/>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CP QCI = CP CONTRATO</a:t>
          </a:r>
        </a:p>
      </xdr:txBody>
    </xdr:sp>
    <xdr:clientData fPrintsWithSheet="0"/>
  </xdr:twoCellAnchor>
  <xdr:twoCellAnchor>
    <xdr:from>
      <xdr:col>3</xdr:col>
      <xdr:colOff>0</xdr:colOff>
      <xdr:row>0</xdr:row>
      <xdr:rowOff>21166</xdr:rowOff>
    </xdr:from>
    <xdr:to>
      <xdr:col>5</xdr:col>
      <xdr:colOff>128694</xdr:colOff>
      <xdr:row>1</xdr:row>
      <xdr:rowOff>25399</xdr:rowOff>
    </xdr:to>
    <xdr:pic>
      <xdr:nvPicPr>
        <xdr:cNvPr id="2" name="Picture 2">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417" y="21166"/>
          <a:ext cx="1822027" cy="385233"/>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4</xdr:col>
      <xdr:colOff>104775</xdr:colOff>
      <xdr:row>8</xdr:row>
      <xdr:rowOff>9525</xdr:rowOff>
    </xdr:from>
    <xdr:to>
      <xdr:col>4</xdr:col>
      <xdr:colOff>644775</xdr:colOff>
      <xdr:row>10</xdr:row>
      <xdr:rowOff>1059</xdr:rowOff>
    </xdr:to>
    <xdr:sp macro="" textlink="">
      <xdr:nvSpPr>
        <xdr:cNvPr id="3" name="AutoShape 67">
          <a:hlinkClick xmlns:r="http://schemas.openxmlformats.org/officeDocument/2006/relationships" r:id="rId3"/>
          <a:extLst>
            <a:ext uri="{FF2B5EF4-FFF2-40B4-BE49-F238E27FC236}">
              <a16:creationId xmlns:a16="http://schemas.microsoft.com/office/drawing/2014/main" id="{00000000-0008-0000-0900-000003000000}"/>
            </a:ext>
          </a:extLst>
        </xdr:cNvPr>
        <xdr:cNvSpPr>
          <a:spLocks noChangeArrowheads="1"/>
        </xdr:cNvSpPr>
      </xdr:nvSpPr>
      <xdr:spPr bwMode="auto">
        <a:xfrm>
          <a:off x="800100" y="1419225"/>
          <a:ext cx="540000" cy="315384"/>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DADOS</a:t>
          </a:r>
        </a:p>
      </xdr:txBody>
    </xdr:sp>
    <xdr:clientData fPrintsWithSheet="0"/>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7</xdr:row>
      <xdr:rowOff>42333</xdr:rowOff>
    </xdr:from>
    <xdr:to>
      <xdr:col>2</xdr:col>
      <xdr:colOff>28575</xdr:colOff>
      <xdr:row>9</xdr:row>
      <xdr:rowOff>4410</xdr:rowOff>
    </xdr:to>
    <xdr:sp macro="" textlink="">
      <xdr:nvSpPr>
        <xdr:cNvPr id="10243" name="AutoShape 67">
          <a:hlinkClick xmlns:r="http://schemas.openxmlformats.org/officeDocument/2006/relationships" r:id="rId1"/>
          <a:extLst>
            <a:ext uri="{FF2B5EF4-FFF2-40B4-BE49-F238E27FC236}">
              <a16:creationId xmlns:a16="http://schemas.microsoft.com/office/drawing/2014/main" id="{00000000-0008-0000-0A00-000003280000}"/>
            </a:ext>
          </a:extLst>
        </xdr:cNvPr>
        <xdr:cNvSpPr>
          <a:spLocks noChangeArrowheads="1"/>
        </xdr:cNvSpPr>
      </xdr:nvSpPr>
      <xdr:spPr bwMode="auto">
        <a:xfrm>
          <a:off x="247650" y="928158"/>
          <a:ext cx="571500" cy="324027"/>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MENU</a:t>
          </a:r>
        </a:p>
      </xdr:txBody>
    </xdr:sp>
    <xdr:clientData fPrintsWithSheet="0"/>
  </xdr:twoCellAnchor>
  <mc:AlternateContent xmlns:mc="http://schemas.openxmlformats.org/markup-compatibility/2006">
    <mc:Choice xmlns:a14="http://schemas.microsoft.com/office/drawing/2010/main" Requires="a14">
      <xdr:twoCellAnchor>
        <xdr:from>
          <xdr:col>11</xdr:col>
          <xdr:colOff>0</xdr:colOff>
          <xdr:row>8</xdr:row>
          <xdr:rowOff>9525</xdr:rowOff>
        </xdr:from>
        <xdr:to>
          <xdr:col>11</xdr:col>
          <xdr:colOff>219075</xdr:colOff>
          <xdr:row>9</xdr:row>
          <xdr:rowOff>0</xdr:rowOff>
        </xdr:to>
        <xdr:sp macro="" textlink="">
          <xdr:nvSpPr>
            <xdr:cNvPr id="10246" name="Botão de rotação 275" hidden="1">
              <a:extLst>
                <a:ext uri="{63B3BB69-23CF-44E3-9099-C40C66FF867C}">
                  <a14:compatExt spid="_x0000_s10246"/>
                </a:ext>
                <a:ext uri="{FF2B5EF4-FFF2-40B4-BE49-F238E27FC236}">
                  <a16:creationId xmlns:a16="http://schemas.microsoft.com/office/drawing/2014/main" id="{00000000-0008-0000-0A00-0000062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xdr:twoCellAnchor>
    <xdr:from>
      <xdr:col>1</xdr:col>
      <xdr:colOff>0</xdr:colOff>
      <xdr:row>9</xdr:row>
      <xdr:rowOff>19050</xdr:rowOff>
    </xdr:from>
    <xdr:to>
      <xdr:col>2</xdr:col>
      <xdr:colOff>31751</xdr:colOff>
      <xdr:row>10</xdr:row>
      <xdr:rowOff>159808</xdr:rowOff>
    </xdr:to>
    <xdr:sp macro="" textlink="">
      <xdr:nvSpPr>
        <xdr:cNvPr id="5" name="AutoShape 67">
          <a:hlinkClick xmlns:r="http://schemas.openxmlformats.org/officeDocument/2006/relationships" r:id="rId2"/>
          <a:extLst>
            <a:ext uri="{FF2B5EF4-FFF2-40B4-BE49-F238E27FC236}">
              <a16:creationId xmlns:a16="http://schemas.microsoft.com/office/drawing/2014/main" id="{00000000-0008-0000-0A00-000005000000}"/>
            </a:ext>
          </a:extLst>
        </xdr:cNvPr>
        <xdr:cNvSpPr>
          <a:spLocks noChangeArrowheads="1"/>
        </xdr:cNvSpPr>
      </xdr:nvSpPr>
      <xdr:spPr bwMode="auto">
        <a:xfrm>
          <a:off x="247650" y="1266825"/>
          <a:ext cx="574676" cy="302683"/>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panose="020F0502020204030204" pitchFamily="34" charset="0"/>
            </a:rPr>
            <a:t>PLQ</a:t>
          </a:r>
          <a:endParaRPr lang="pt-BR" sz="1100" b="1" i="0" u="none" strike="noStrike" baseline="0">
            <a:solidFill>
              <a:srgbClr val="000000"/>
            </a:solidFill>
            <a:latin typeface="Calibri"/>
          </a:endParaRPr>
        </a:p>
      </xdr:txBody>
    </xdr:sp>
    <xdr:clientData fPrintsWithSheet="0"/>
  </xdr:twoCellAnchor>
  <xdr:twoCellAnchor>
    <xdr:from>
      <xdr:col>1</xdr:col>
      <xdr:colOff>0</xdr:colOff>
      <xdr:row>10</xdr:row>
      <xdr:rowOff>500803</xdr:rowOff>
    </xdr:from>
    <xdr:to>
      <xdr:col>2</xdr:col>
      <xdr:colOff>31751</xdr:colOff>
      <xdr:row>10</xdr:row>
      <xdr:rowOff>803486</xdr:rowOff>
    </xdr:to>
    <xdr:sp macro="" textlink="">
      <xdr:nvSpPr>
        <xdr:cNvPr id="6" name="AutoShape 67">
          <a:hlinkClick xmlns:r="http://schemas.openxmlformats.org/officeDocument/2006/relationships" r:id="rId3"/>
          <a:extLst>
            <a:ext uri="{FF2B5EF4-FFF2-40B4-BE49-F238E27FC236}">
              <a16:creationId xmlns:a16="http://schemas.microsoft.com/office/drawing/2014/main" id="{00000000-0008-0000-0A00-000006000000}"/>
            </a:ext>
          </a:extLst>
        </xdr:cNvPr>
        <xdr:cNvSpPr>
          <a:spLocks noChangeArrowheads="1"/>
        </xdr:cNvSpPr>
      </xdr:nvSpPr>
      <xdr:spPr bwMode="auto">
        <a:xfrm>
          <a:off x="247650" y="1910503"/>
          <a:ext cx="574676" cy="302683"/>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panose="020F0502020204030204" pitchFamily="34" charset="0"/>
            </a:rPr>
            <a:t>RRE</a:t>
          </a:r>
          <a:endParaRPr lang="pt-BR" sz="1100" b="1" i="0" u="none" strike="noStrike" baseline="0">
            <a:solidFill>
              <a:srgbClr val="000000"/>
            </a:solidFill>
            <a:latin typeface="Calibri"/>
          </a:endParaRPr>
        </a:p>
      </xdr:txBody>
    </xdr:sp>
    <xdr:clientData fPrintsWithSheet="0"/>
  </xdr:twoCellAnchor>
  <xdr:twoCellAnchor>
    <xdr:from>
      <xdr:col>1</xdr:col>
      <xdr:colOff>0</xdr:colOff>
      <xdr:row>2</xdr:row>
      <xdr:rowOff>21166</xdr:rowOff>
    </xdr:from>
    <xdr:to>
      <xdr:col>3</xdr:col>
      <xdr:colOff>149861</xdr:colOff>
      <xdr:row>4</xdr:row>
      <xdr:rowOff>4232</xdr:rowOff>
    </xdr:to>
    <xdr:pic>
      <xdr:nvPicPr>
        <xdr:cNvPr id="2" name="Picture 2">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43417" y="338666"/>
          <a:ext cx="1822027" cy="385233"/>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xdr:col>
      <xdr:colOff>0</xdr:colOff>
      <xdr:row>10</xdr:row>
      <xdr:rowOff>180975</xdr:rowOff>
    </xdr:from>
    <xdr:to>
      <xdr:col>2</xdr:col>
      <xdr:colOff>31751</xdr:colOff>
      <xdr:row>10</xdr:row>
      <xdr:rowOff>483658</xdr:rowOff>
    </xdr:to>
    <xdr:sp macro="" textlink="">
      <xdr:nvSpPr>
        <xdr:cNvPr id="3" name="AutoShape 67">
          <a:hlinkClick xmlns:r="http://schemas.openxmlformats.org/officeDocument/2006/relationships" r:id="rId5"/>
          <a:extLst>
            <a:ext uri="{FF2B5EF4-FFF2-40B4-BE49-F238E27FC236}">
              <a16:creationId xmlns:a16="http://schemas.microsoft.com/office/drawing/2014/main" id="{00000000-0008-0000-0A00-000003000000}"/>
            </a:ext>
          </a:extLst>
        </xdr:cNvPr>
        <xdr:cNvSpPr>
          <a:spLocks noChangeArrowheads="1"/>
        </xdr:cNvSpPr>
      </xdr:nvSpPr>
      <xdr:spPr bwMode="auto">
        <a:xfrm>
          <a:off x="247650" y="1590675"/>
          <a:ext cx="574676" cy="302683"/>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panose="020F0502020204030204" pitchFamily="34" charset="0"/>
            </a:rPr>
            <a:t>CRONO</a:t>
          </a:r>
          <a:endParaRPr lang="pt-BR" sz="1100" b="1" i="0" u="none" strike="noStrike" baseline="0">
            <a:solidFill>
              <a:srgbClr val="000000"/>
            </a:solidFill>
            <a:latin typeface="Calibri"/>
          </a:endParaRPr>
        </a:p>
      </xdr:txBody>
    </xdr:sp>
    <xdr:clientData fPrintsWithSheet="0"/>
  </xdr:twoCellAnchor>
</xdr:wsDr>
</file>

<file path=xl/drawings/drawing12.xml><?xml version="1.0" encoding="utf-8"?>
<xdr:wsDr xmlns:xdr="http://schemas.openxmlformats.org/drawingml/2006/spreadsheetDrawing" xmlns:a="http://schemas.openxmlformats.org/drawingml/2006/main">
  <xdr:twoCellAnchor>
    <xdr:from>
      <xdr:col>8</xdr:col>
      <xdr:colOff>1276350</xdr:colOff>
      <xdr:row>8</xdr:row>
      <xdr:rowOff>57150</xdr:rowOff>
    </xdr:from>
    <xdr:to>
      <xdr:col>12</xdr:col>
      <xdr:colOff>445815</xdr:colOff>
      <xdr:row>10</xdr:row>
      <xdr:rowOff>85725</xdr:rowOff>
    </xdr:to>
    <xdr:sp macro="" textlink="" fLocksText="0">
      <xdr:nvSpPr>
        <xdr:cNvPr id="12293" name="TextBoxArred">
          <a:extLst>
            <a:ext uri="{FF2B5EF4-FFF2-40B4-BE49-F238E27FC236}">
              <a16:creationId xmlns:a16="http://schemas.microsoft.com/office/drawing/2014/main" id="{00000000-0008-0000-0B00-000005300000}"/>
            </a:ext>
          </a:extLst>
        </xdr:cNvPr>
        <xdr:cNvSpPr txBox="1">
          <a:spLocks noChangeArrowheads="1"/>
        </xdr:cNvSpPr>
      </xdr:nvSpPr>
      <xdr:spPr bwMode="auto">
        <a:xfrm flipH="1">
          <a:off x="12411075" y="1314450"/>
          <a:ext cx="2790825" cy="352425"/>
        </a:xfrm>
        <a:prstGeom prst="rect">
          <a:avLst/>
        </a:prstGeom>
        <a:noFill/>
        <a:ln w="6480">
          <a:solidFill>
            <a:srgbClr val="000000"/>
          </a:solidFill>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2680" rIns="27360" bIns="0" anchor="t"/>
        <a:lstStyle/>
        <a:p>
          <a:pPr algn="ctr" rtl="0">
            <a:defRPr sz="1000"/>
          </a:pPr>
          <a:r>
            <a:rPr lang="pt-BR" sz="1000" b="0" i="0" u="none" strike="noStrike" baseline="0">
              <a:solidFill>
                <a:srgbClr val="000000"/>
              </a:solidFill>
              <a:latin typeface="Arial"/>
              <a:cs typeface="Arial"/>
            </a:rPr>
            <a:t>Considerar valores arredondados com (0,00)</a:t>
          </a:r>
        </a:p>
      </xdr:txBody>
    </xdr:sp>
    <xdr:clientData fPrintsWithSheet="0"/>
  </xdr:twoCellAnchor>
  <xdr:twoCellAnchor>
    <xdr:from>
      <xdr:col>3</xdr:col>
      <xdr:colOff>95250</xdr:colOff>
      <xdr:row>8</xdr:row>
      <xdr:rowOff>114300</xdr:rowOff>
    </xdr:from>
    <xdr:to>
      <xdr:col>3</xdr:col>
      <xdr:colOff>681990</xdr:colOff>
      <xdr:row>10</xdr:row>
      <xdr:rowOff>104775</xdr:rowOff>
    </xdr:to>
    <xdr:sp macro="" textlink="">
      <xdr:nvSpPr>
        <xdr:cNvPr id="12294" name="AutoShape 67">
          <a:hlinkClick xmlns:r="http://schemas.openxmlformats.org/officeDocument/2006/relationships" r:id="rId1"/>
          <a:extLst>
            <a:ext uri="{FF2B5EF4-FFF2-40B4-BE49-F238E27FC236}">
              <a16:creationId xmlns:a16="http://schemas.microsoft.com/office/drawing/2014/main" id="{00000000-0008-0000-0B00-000006300000}"/>
            </a:ext>
          </a:extLst>
        </xdr:cNvPr>
        <xdr:cNvSpPr>
          <a:spLocks noChangeArrowheads="1"/>
        </xdr:cNvSpPr>
      </xdr:nvSpPr>
      <xdr:spPr bwMode="auto">
        <a:xfrm>
          <a:off x="342900" y="1371600"/>
          <a:ext cx="586740" cy="314325"/>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MENU</a:t>
          </a:r>
        </a:p>
      </xdr:txBody>
    </xdr:sp>
    <xdr:clientData fPrintsWithSheet="0"/>
  </xdr:twoCellAnchor>
  <mc:AlternateContent xmlns:mc="http://schemas.openxmlformats.org/markup-compatibility/2006">
    <mc:Choice xmlns:a14="http://schemas.microsoft.com/office/drawing/2010/main" Requires="a14">
      <xdr:twoCellAnchor>
        <xdr:from>
          <xdr:col>10</xdr:col>
          <xdr:colOff>219075</xdr:colOff>
          <xdr:row>9</xdr:row>
          <xdr:rowOff>47625</xdr:rowOff>
        </xdr:from>
        <xdr:to>
          <xdr:col>10</xdr:col>
          <xdr:colOff>523875</xdr:colOff>
          <xdr:row>10</xdr:row>
          <xdr:rowOff>114300</xdr:rowOff>
        </xdr:to>
        <xdr:sp macro="" textlink="">
          <xdr:nvSpPr>
            <xdr:cNvPr id="12295" name="CaixaArredMed" hidden="1">
              <a:extLst>
                <a:ext uri="{63B3BB69-23CF-44E3-9099-C40C66FF867C}">
                  <a14:compatExt spid="_x0000_s12295"/>
                </a:ext>
                <a:ext uri="{FF2B5EF4-FFF2-40B4-BE49-F238E27FC236}">
                  <a16:creationId xmlns:a16="http://schemas.microsoft.com/office/drawing/2014/main" id="{00000000-0008-0000-0B00-0000073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15</xdr:col>
          <xdr:colOff>28575</xdr:colOff>
          <xdr:row>6</xdr:row>
          <xdr:rowOff>123825</xdr:rowOff>
        </xdr:from>
        <xdr:to>
          <xdr:col>15</xdr:col>
          <xdr:colOff>266700</xdr:colOff>
          <xdr:row>8</xdr:row>
          <xdr:rowOff>0</xdr:rowOff>
        </xdr:to>
        <xdr:sp macro="" textlink="">
          <xdr:nvSpPr>
            <xdr:cNvPr id="12296" name="Botão de rotação 23" hidden="1">
              <a:extLst>
                <a:ext uri="{63B3BB69-23CF-44E3-9099-C40C66FF867C}">
                  <a14:compatExt spid="_x0000_s12296"/>
                </a:ext>
                <a:ext uri="{FF2B5EF4-FFF2-40B4-BE49-F238E27FC236}">
                  <a16:creationId xmlns:a16="http://schemas.microsoft.com/office/drawing/2014/main" id="{00000000-0008-0000-0B00-0000083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xdr:twoCellAnchor>
    <xdr:from>
      <xdr:col>4</xdr:col>
      <xdr:colOff>2213610</xdr:colOff>
      <xdr:row>8</xdr:row>
      <xdr:rowOff>112395</xdr:rowOff>
    </xdr:from>
    <xdr:to>
      <xdr:col>4</xdr:col>
      <xdr:colOff>4095750</xdr:colOff>
      <xdr:row>10</xdr:row>
      <xdr:rowOff>95412</xdr:rowOff>
    </xdr:to>
    <xdr:sp macro="[0]!BM.alternaModo" textlink="">
      <xdr:nvSpPr>
        <xdr:cNvPr id="12298" name="ShapeModoBM">
          <a:extLst>
            <a:ext uri="{FF2B5EF4-FFF2-40B4-BE49-F238E27FC236}">
              <a16:creationId xmlns:a16="http://schemas.microsoft.com/office/drawing/2014/main" id="{00000000-0008-0000-0B00-00000A300000}"/>
            </a:ext>
          </a:extLst>
        </xdr:cNvPr>
        <xdr:cNvSpPr>
          <a:spLocks noChangeArrowheads="1"/>
        </xdr:cNvSpPr>
      </xdr:nvSpPr>
      <xdr:spPr bwMode="auto">
        <a:xfrm>
          <a:off x="3175635" y="1369695"/>
          <a:ext cx="1882140" cy="306867"/>
        </a:xfrm>
        <a:prstGeom prst="roundRect">
          <a:avLst>
            <a:gd name="adj" fmla="val 16667"/>
          </a:avLst>
        </a:prstGeom>
        <a:solidFill>
          <a:srgbClr val="FFCC99"/>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Habilitar Modo CAIXA</a:t>
          </a:r>
        </a:p>
      </xdr:txBody>
    </xdr:sp>
    <xdr:clientData fPrintsWithSheet="0"/>
  </xdr:twoCellAnchor>
  <xdr:twoCellAnchor>
    <xdr:from>
      <xdr:col>16</xdr:col>
      <xdr:colOff>0</xdr:colOff>
      <xdr:row>6</xdr:row>
      <xdr:rowOff>42333</xdr:rowOff>
    </xdr:from>
    <xdr:to>
      <xdr:col>16</xdr:col>
      <xdr:colOff>0</xdr:colOff>
      <xdr:row>9</xdr:row>
      <xdr:rowOff>102792</xdr:rowOff>
    </xdr:to>
    <xdr:sp macro="[0]!CopiarMedição" textlink="" fLocksText="0">
      <xdr:nvSpPr>
        <xdr:cNvPr id="8" name="ShapeCopiarMed">
          <a:extLst>
            <a:ext uri="{FF2B5EF4-FFF2-40B4-BE49-F238E27FC236}">
              <a16:creationId xmlns:a16="http://schemas.microsoft.com/office/drawing/2014/main" id="{00000000-0008-0000-0B00-000008000000}"/>
            </a:ext>
          </a:extLst>
        </xdr:cNvPr>
        <xdr:cNvSpPr>
          <a:spLocks noChangeArrowheads="1"/>
        </xdr:cNvSpPr>
      </xdr:nvSpPr>
      <xdr:spPr bwMode="auto">
        <a:xfrm>
          <a:off x="17187333" y="963083"/>
          <a:ext cx="709083" cy="529167"/>
        </a:xfrm>
        <a:prstGeom prst="roundRect">
          <a:avLst>
            <a:gd name="adj" fmla="val 16667"/>
          </a:avLst>
        </a:prstGeom>
        <a:solidFill>
          <a:srgbClr val="FFCC99"/>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Copiar da Medição</a:t>
          </a:r>
        </a:p>
      </xdr:txBody>
    </xdr:sp>
    <xdr:clientData/>
  </xdr:twoCellAnchor>
  <xdr:twoCellAnchor>
    <xdr:from>
      <xdr:col>4</xdr:col>
      <xdr:colOff>806450</xdr:colOff>
      <xdr:row>8</xdr:row>
      <xdr:rowOff>116417</xdr:rowOff>
    </xdr:from>
    <xdr:to>
      <xdr:col>4</xdr:col>
      <xdr:colOff>1393191</xdr:colOff>
      <xdr:row>10</xdr:row>
      <xdr:rowOff>101600</xdr:rowOff>
    </xdr:to>
    <xdr:sp macro="" textlink="">
      <xdr:nvSpPr>
        <xdr:cNvPr id="9" name="AutoShape 67">
          <a:hlinkClick xmlns:r="http://schemas.openxmlformats.org/officeDocument/2006/relationships" r:id="rId2"/>
          <a:extLst>
            <a:ext uri="{FF2B5EF4-FFF2-40B4-BE49-F238E27FC236}">
              <a16:creationId xmlns:a16="http://schemas.microsoft.com/office/drawing/2014/main" id="{00000000-0008-0000-0B00-000009000000}"/>
            </a:ext>
          </a:extLst>
        </xdr:cNvPr>
        <xdr:cNvSpPr>
          <a:spLocks noChangeArrowheads="1"/>
        </xdr:cNvSpPr>
      </xdr:nvSpPr>
      <xdr:spPr bwMode="auto">
        <a:xfrm>
          <a:off x="1768475" y="1373717"/>
          <a:ext cx="586741" cy="309033"/>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panose="020F0502020204030204" pitchFamily="34" charset="0"/>
            </a:rPr>
            <a:t>CFF</a:t>
          </a:r>
          <a:endParaRPr lang="pt-BR" sz="1100" b="1" i="0" u="none" strike="noStrike" baseline="0">
            <a:solidFill>
              <a:srgbClr val="000000"/>
            </a:solidFill>
            <a:latin typeface="Calibri"/>
          </a:endParaRPr>
        </a:p>
      </xdr:txBody>
    </xdr:sp>
    <xdr:clientData fPrintsWithSheet="0"/>
  </xdr:twoCellAnchor>
  <xdr:twoCellAnchor>
    <xdr:from>
      <xdr:col>3</xdr:col>
      <xdr:colOff>0</xdr:colOff>
      <xdr:row>0</xdr:row>
      <xdr:rowOff>21166</xdr:rowOff>
    </xdr:from>
    <xdr:to>
      <xdr:col>4</xdr:col>
      <xdr:colOff>1102361</xdr:colOff>
      <xdr:row>2</xdr:row>
      <xdr:rowOff>14816</xdr:rowOff>
    </xdr:to>
    <xdr:pic>
      <xdr:nvPicPr>
        <xdr:cNvPr id="2" name="Picture 2">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43417" y="21166"/>
          <a:ext cx="1822027" cy="385233"/>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4</xdr:col>
      <xdr:colOff>1512358</xdr:colOff>
      <xdr:row>8</xdr:row>
      <xdr:rowOff>116417</xdr:rowOff>
    </xdr:from>
    <xdr:to>
      <xdr:col>4</xdr:col>
      <xdr:colOff>2099099</xdr:colOff>
      <xdr:row>10</xdr:row>
      <xdr:rowOff>101600</xdr:rowOff>
    </xdr:to>
    <xdr:sp macro="" textlink="">
      <xdr:nvSpPr>
        <xdr:cNvPr id="3" name="AutoShape 67">
          <a:hlinkClick xmlns:r="http://schemas.openxmlformats.org/officeDocument/2006/relationships" r:id="rId4"/>
          <a:extLst>
            <a:ext uri="{FF2B5EF4-FFF2-40B4-BE49-F238E27FC236}">
              <a16:creationId xmlns:a16="http://schemas.microsoft.com/office/drawing/2014/main" id="{00000000-0008-0000-0B00-000003000000}"/>
            </a:ext>
          </a:extLst>
        </xdr:cNvPr>
        <xdr:cNvSpPr>
          <a:spLocks noChangeArrowheads="1"/>
        </xdr:cNvSpPr>
      </xdr:nvSpPr>
      <xdr:spPr bwMode="auto">
        <a:xfrm>
          <a:off x="2474383" y="1373717"/>
          <a:ext cx="586741" cy="309033"/>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panose="020F0502020204030204" pitchFamily="34" charset="0"/>
            </a:rPr>
            <a:t>RRE</a:t>
          </a:r>
          <a:endParaRPr lang="pt-BR" sz="1100" b="1" i="0" u="none" strike="noStrike" baseline="0">
            <a:solidFill>
              <a:srgbClr val="000000"/>
            </a:solidFill>
            <a:latin typeface="Calibri"/>
          </a:endParaRPr>
        </a:p>
      </xdr:txBody>
    </xdr:sp>
    <xdr:clientData fPrintsWithSheet="0"/>
  </xdr:twoCellAnchor>
  <xdr:twoCellAnchor>
    <xdr:from>
      <xdr:col>4</xdr:col>
      <xdr:colOff>104775</xdr:colOff>
      <xdr:row>8</xdr:row>
      <xdr:rowOff>114300</xdr:rowOff>
    </xdr:from>
    <xdr:to>
      <xdr:col>4</xdr:col>
      <xdr:colOff>691515</xdr:colOff>
      <xdr:row>10</xdr:row>
      <xdr:rowOff>104775</xdr:rowOff>
    </xdr:to>
    <xdr:sp macro="" textlink="">
      <xdr:nvSpPr>
        <xdr:cNvPr id="4" name="AutoShape 67">
          <a:hlinkClick xmlns:r="http://schemas.openxmlformats.org/officeDocument/2006/relationships" r:id="rId5"/>
          <a:extLst>
            <a:ext uri="{FF2B5EF4-FFF2-40B4-BE49-F238E27FC236}">
              <a16:creationId xmlns:a16="http://schemas.microsoft.com/office/drawing/2014/main" id="{00000000-0008-0000-0B00-000004000000}"/>
            </a:ext>
          </a:extLst>
        </xdr:cNvPr>
        <xdr:cNvSpPr>
          <a:spLocks noChangeArrowheads="1"/>
        </xdr:cNvSpPr>
      </xdr:nvSpPr>
      <xdr:spPr bwMode="auto">
        <a:xfrm>
          <a:off x="1066800" y="1371600"/>
          <a:ext cx="586740" cy="314325"/>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DADOS</a:t>
          </a:r>
        </a:p>
      </xdr:txBody>
    </xdr:sp>
    <xdr:clientData fPrintsWithSheet="0"/>
  </xdr:twoCellAnchor>
</xdr:wsDr>
</file>

<file path=xl/drawings/drawing13.xml><?xml version="1.0" encoding="utf-8"?>
<xdr:wsDr xmlns:xdr="http://schemas.openxmlformats.org/drawingml/2006/spreadsheetDrawing" xmlns:a="http://schemas.openxmlformats.org/drawingml/2006/main">
  <xdr:twoCellAnchor>
    <xdr:from>
      <xdr:col>14</xdr:col>
      <xdr:colOff>102870</xdr:colOff>
      <xdr:row>7</xdr:row>
      <xdr:rowOff>160020</xdr:rowOff>
    </xdr:from>
    <xdr:to>
      <xdr:col>24</xdr:col>
      <xdr:colOff>169545</xdr:colOff>
      <xdr:row>10</xdr:row>
      <xdr:rowOff>49546</xdr:rowOff>
    </xdr:to>
    <xdr:sp macro="" textlink="" fLocksText="0">
      <xdr:nvSpPr>
        <xdr:cNvPr id="13317" name="AutoShape 317">
          <a:extLst>
            <a:ext uri="{FF2B5EF4-FFF2-40B4-BE49-F238E27FC236}">
              <a16:creationId xmlns:a16="http://schemas.microsoft.com/office/drawing/2014/main" id="{00000000-0008-0000-0C00-000005340000}"/>
            </a:ext>
          </a:extLst>
        </xdr:cNvPr>
        <xdr:cNvSpPr>
          <a:spLocks noChangeArrowheads="1"/>
        </xdr:cNvSpPr>
      </xdr:nvSpPr>
      <xdr:spPr bwMode="auto">
        <a:xfrm>
          <a:off x="10487025" y="1562100"/>
          <a:ext cx="2724150" cy="390525"/>
        </a:xfrm>
        <a:prstGeom prst="wedgeRectCallout">
          <a:avLst>
            <a:gd name="adj1" fmla="val 72181"/>
            <a:gd name="adj2" fmla="val 58333"/>
          </a:avLst>
        </a:prstGeom>
        <a:solidFill>
          <a:srgbClr val="FFFF99"/>
        </a:solidFill>
        <a:ln w="9360">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2680" rIns="0" bIns="0" anchor="t"/>
        <a:lstStyle/>
        <a:p>
          <a:pPr algn="l" rtl="0">
            <a:defRPr sz="1000"/>
          </a:pPr>
          <a:r>
            <a:rPr lang="pt-BR" sz="1000" b="1" i="0" u="none" strike="noStrike" baseline="0">
              <a:solidFill>
                <a:srgbClr val="000000"/>
              </a:solidFill>
              <a:latin typeface="Arial"/>
              <a:cs typeface="Arial"/>
            </a:rPr>
            <a:t>Para Metas preenchidas manualmente, digite o valor medido nas colunas à direita.</a:t>
          </a:r>
        </a:p>
      </xdr:txBody>
    </xdr:sp>
    <xdr:clientData fPrintsWithSheet="0"/>
  </xdr:twoCellAnchor>
  <xdr:twoCellAnchor>
    <xdr:from>
      <xdr:col>4</xdr:col>
      <xdr:colOff>85725</xdr:colOff>
      <xdr:row>8</xdr:row>
      <xdr:rowOff>28575</xdr:rowOff>
    </xdr:from>
    <xdr:to>
      <xdr:col>5</xdr:col>
      <xdr:colOff>142875</xdr:colOff>
      <xdr:row>10</xdr:row>
      <xdr:rowOff>11435</xdr:rowOff>
    </xdr:to>
    <xdr:sp macro="" textlink="">
      <xdr:nvSpPr>
        <xdr:cNvPr id="13318" name="AutoShape 67">
          <a:hlinkClick xmlns:r="http://schemas.openxmlformats.org/officeDocument/2006/relationships" r:id="rId1"/>
          <a:extLst>
            <a:ext uri="{FF2B5EF4-FFF2-40B4-BE49-F238E27FC236}">
              <a16:creationId xmlns:a16="http://schemas.microsoft.com/office/drawing/2014/main" id="{00000000-0008-0000-0C00-000006340000}"/>
            </a:ext>
          </a:extLst>
        </xdr:cNvPr>
        <xdr:cNvSpPr>
          <a:spLocks noChangeArrowheads="1"/>
        </xdr:cNvSpPr>
      </xdr:nvSpPr>
      <xdr:spPr bwMode="auto">
        <a:xfrm>
          <a:off x="333375" y="1600200"/>
          <a:ext cx="571500" cy="314325"/>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MENU</a:t>
          </a:r>
        </a:p>
      </xdr:txBody>
    </xdr:sp>
    <xdr:clientData fPrintsWithSheet="0"/>
  </xdr:twoCellAnchor>
  <xdr:twoCellAnchor>
    <xdr:from>
      <xdr:col>5</xdr:col>
      <xdr:colOff>240453</xdr:colOff>
      <xdr:row>8</xdr:row>
      <xdr:rowOff>31750</xdr:rowOff>
    </xdr:from>
    <xdr:to>
      <xdr:col>5</xdr:col>
      <xdr:colOff>1524000</xdr:colOff>
      <xdr:row>10</xdr:row>
      <xdr:rowOff>9447</xdr:rowOff>
    </xdr:to>
    <xdr:sp macro="[0]!IrPara_Medição" textlink="">
      <xdr:nvSpPr>
        <xdr:cNvPr id="5" name="AutoShape 67">
          <a:extLst>
            <a:ext uri="{FF2B5EF4-FFF2-40B4-BE49-F238E27FC236}">
              <a16:creationId xmlns:a16="http://schemas.microsoft.com/office/drawing/2014/main" id="{00000000-0008-0000-0C00-000005000000}"/>
            </a:ext>
          </a:extLst>
        </xdr:cNvPr>
        <xdr:cNvSpPr>
          <a:spLocks noChangeArrowheads="1"/>
        </xdr:cNvSpPr>
      </xdr:nvSpPr>
      <xdr:spPr bwMode="auto">
        <a:xfrm>
          <a:off x="1002453" y="1441450"/>
          <a:ext cx="1283547" cy="301547"/>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panose="020F0502020204030204" pitchFamily="34" charset="0"/>
            </a:rPr>
            <a:t>EDITAR MEDIÇÃO</a:t>
          </a:r>
          <a:endParaRPr lang="pt-BR" sz="1100" b="1" i="0" u="none" strike="noStrike" baseline="0">
            <a:solidFill>
              <a:srgbClr val="000000"/>
            </a:solidFill>
            <a:latin typeface="Calibri"/>
          </a:endParaRPr>
        </a:p>
      </xdr:txBody>
    </xdr:sp>
    <xdr:clientData fPrintsWithSheet="0"/>
  </xdr:twoCellAnchor>
  <xdr:twoCellAnchor>
    <xdr:from>
      <xdr:col>4</xdr:col>
      <xdr:colOff>0</xdr:colOff>
      <xdr:row>0</xdr:row>
      <xdr:rowOff>21166</xdr:rowOff>
    </xdr:from>
    <xdr:to>
      <xdr:col>5</xdr:col>
      <xdr:colOff>1303444</xdr:colOff>
      <xdr:row>1</xdr:row>
      <xdr:rowOff>25399</xdr:rowOff>
    </xdr:to>
    <xdr:pic>
      <xdr:nvPicPr>
        <xdr:cNvPr id="2" name="Picture 2">
          <a:extLst>
            <a:ext uri="{FF2B5EF4-FFF2-40B4-BE49-F238E27FC236}">
              <a16:creationId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84917" y="21166"/>
          <a:ext cx="1822027" cy="385233"/>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5</xdr:col>
      <xdr:colOff>1623483</xdr:colOff>
      <xdr:row>8</xdr:row>
      <xdr:rowOff>31750</xdr:rowOff>
    </xdr:from>
    <xdr:to>
      <xdr:col>5</xdr:col>
      <xdr:colOff>2210224</xdr:colOff>
      <xdr:row>10</xdr:row>
      <xdr:rowOff>9447</xdr:rowOff>
    </xdr:to>
    <xdr:sp macro="" textlink="">
      <xdr:nvSpPr>
        <xdr:cNvPr id="3" name="AutoShape 67">
          <a:hlinkClick xmlns:r="http://schemas.openxmlformats.org/officeDocument/2006/relationships" r:id="rId3"/>
          <a:extLst>
            <a:ext uri="{FF2B5EF4-FFF2-40B4-BE49-F238E27FC236}">
              <a16:creationId xmlns:a16="http://schemas.microsoft.com/office/drawing/2014/main" id="{00000000-0008-0000-0C00-000003000000}"/>
            </a:ext>
          </a:extLst>
        </xdr:cNvPr>
        <xdr:cNvSpPr>
          <a:spLocks noChangeArrowheads="1"/>
        </xdr:cNvSpPr>
      </xdr:nvSpPr>
      <xdr:spPr bwMode="auto">
        <a:xfrm>
          <a:off x="2385483" y="1441450"/>
          <a:ext cx="586741" cy="301547"/>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panose="020F0502020204030204" pitchFamily="34" charset="0"/>
            </a:rPr>
            <a:t>OFÍCIO</a:t>
          </a:r>
          <a:endParaRPr lang="pt-BR" sz="1100" b="1" i="0" u="none" strike="noStrike" baseline="0">
            <a:solidFill>
              <a:srgbClr val="000000"/>
            </a:solidFill>
            <a:latin typeface="Calibri"/>
          </a:endParaRPr>
        </a:p>
      </xdr:txBody>
    </xdr:sp>
    <xdr:clientData fPrintsWithSheet="0"/>
  </xdr:twoCellAnchor>
</xdr:wsDr>
</file>

<file path=xl/drawings/drawing14.xml><?xml version="1.0" encoding="utf-8"?>
<xdr:wsDr xmlns:xdr="http://schemas.openxmlformats.org/drawingml/2006/spreadsheetDrawing" xmlns:a="http://schemas.openxmlformats.org/drawingml/2006/main">
  <xdr:twoCellAnchor>
    <xdr:from>
      <xdr:col>4</xdr:col>
      <xdr:colOff>459529</xdr:colOff>
      <xdr:row>1</xdr:row>
      <xdr:rowOff>64559</xdr:rowOff>
    </xdr:from>
    <xdr:to>
      <xdr:col>5</xdr:col>
      <xdr:colOff>486201</xdr:colOff>
      <xdr:row>2</xdr:row>
      <xdr:rowOff>208209</xdr:rowOff>
    </xdr:to>
    <xdr:sp macro="[0]!Plan12.InsereFigura" textlink="">
      <xdr:nvSpPr>
        <xdr:cNvPr id="14337" name="ShapeBrasao">
          <a:extLst>
            <a:ext uri="{FF2B5EF4-FFF2-40B4-BE49-F238E27FC236}">
              <a16:creationId xmlns:a16="http://schemas.microsoft.com/office/drawing/2014/main" id="{00000000-0008-0000-0D00-000001380000}"/>
            </a:ext>
          </a:extLst>
        </xdr:cNvPr>
        <xdr:cNvSpPr>
          <a:spLocks noChangeArrowheads="1"/>
        </xdr:cNvSpPr>
      </xdr:nvSpPr>
      <xdr:spPr bwMode="auto">
        <a:xfrm>
          <a:off x="3468159" y="223309"/>
          <a:ext cx="1405467" cy="302400"/>
        </a:xfrm>
        <a:prstGeom prst="roundRect">
          <a:avLst>
            <a:gd name="adj" fmla="val 16667"/>
          </a:avLst>
        </a:prstGeom>
        <a:solidFill>
          <a:srgbClr val="FFCC99"/>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INSERIR BRASÃO</a:t>
          </a:r>
        </a:p>
      </xdr:txBody>
    </xdr:sp>
    <xdr:clientData fPrintsWithSheet="0"/>
  </xdr:twoCellAnchor>
  <xdr:twoCellAnchor>
    <xdr:from>
      <xdr:col>3</xdr:col>
      <xdr:colOff>653415</xdr:colOff>
      <xdr:row>1</xdr:row>
      <xdr:rowOff>66675</xdr:rowOff>
    </xdr:from>
    <xdr:to>
      <xdr:col>3</xdr:col>
      <xdr:colOff>1193415</xdr:colOff>
      <xdr:row>2</xdr:row>
      <xdr:rowOff>210325</xdr:rowOff>
    </xdr:to>
    <xdr:sp macro="" textlink="">
      <xdr:nvSpPr>
        <xdr:cNvPr id="14338" name="AutoShape 67">
          <a:hlinkClick xmlns:r="http://schemas.openxmlformats.org/officeDocument/2006/relationships" r:id="rId1"/>
          <a:extLst>
            <a:ext uri="{FF2B5EF4-FFF2-40B4-BE49-F238E27FC236}">
              <a16:creationId xmlns:a16="http://schemas.microsoft.com/office/drawing/2014/main" id="{00000000-0008-0000-0D00-000002380000}"/>
            </a:ext>
          </a:extLst>
        </xdr:cNvPr>
        <xdr:cNvSpPr>
          <a:spLocks noChangeArrowheads="1"/>
        </xdr:cNvSpPr>
      </xdr:nvSpPr>
      <xdr:spPr bwMode="auto">
        <a:xfrm>
          <a:off x="2282190" y="228600"/>
          <a:ext cx="540000" cy="305575"/>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DADOS</a:t>
          </a:r>
        </a:p>
      </xdr:txBody>
    </xdr:sp>
    <xdr:clientData fPrintsWithSheet="0"/>
  </xdr:twoCellAnchor>
  <xdr:twoCellAnchor>
    <xdr:from>
      <xdr:col>3</xdr:col>
      <xdr:colOff>1236981</xdr:colOff>
      <xdr:row>1</xdr:row>
      <xdr:rowOff>63499</xdr:rowOff>
    </xdr:from>
    <xdr:to>
      <xdr:col>4</xdr:col>
      <xdr:colOff>399026</xdr:colOff>
      <xdr:row>2</xdr:row>
      <xdr:rowOff>207432</xdr:rowOff>
    </xdr:to>
    <xdr:sp macro="" textlink="">
      <xdr:nvSpPr>
        <xdr:cNvPr id="4" name="AutoShape 67">
          <a:hlinkClick xmlns:r="http://schemas.openxmlformats.org/officeDocument/2006/relationships" r:id="rId2"/>
          <a:extLst>
            <a:ext uri="{FF2B5EF4-FFF2-40B4-BE49-F238E27FC236}">
              <a16:creationId xmlns:a16="http://schemas.microsoft.com/office/drawing/2014/main" id="{00000000-0008-0000-0D00-000004000000}"/>
            </a:ext>
          </a:extLst>
        </xdr:cNvPr>
        <xdr:cNvSpPr>
          <a:spLocks noChangeArrowheads="1"/>
        </xdr:cNvSpPr>
      </xdr:nvSpPr>
      <xdr:spPr bwMode="auto">
        <a:xfrm>
          <a:off x="2836334" y="222249"/>
          <a:ext cx="571501" cy="302683"/>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panose="020F0502020204030204" pitchFamily="34" charset="0"/>
            </a:rPr>
            <a:t>RRE</a:t>
          </a:r>
          <a:endParaRPr lang="pt-BR" sz="1100" b="1" i="0" u="none" strike="noStrike" baseline="0">
            <a:solidFill>
              <a:srgbClr val="000000"/>
            </a:solidFill>
            <a:latin typeface="Calibri"/>
          </a:endParaRPr>
        </a:p>
      </xdr:txBody>
    </xdr:sp>
    <xdr:clientData fPrintsWithSheet="0"/>
  </xdr:twoCellAnchor>
  <xdr:twoCellAnchor>
    <xdr:from>
      <xdr:col>3</xdr:col>
      <xdr:colOff>72390</xdr:colOff>
      <xdr:row>1</xdr:row>
      <xdr:rowOff>66675</xdr:rowOff>
    </xdr:from>
    <xdr:to>
      <xdr:col>3</xdr:col>
      <xdr:colOff>612390</xdr:colOff>
      <xdr:row>2</xdr:row>
      <xdr:rowOff>210325</xdr:rowOff>
    </xdr:to>
    <xdr:sp macro="" textlink="">
      <xdr:nvSpPr>
        <xdr:cNvPr id="2" name="AutoShape 67">
          <a:hlinkClick xmlns:r="http://schemas.openxmlformats.org/officeDocument/2006/relationships" r:id="rId3"/>
          <a:extLst>
            <a:ext uri="{FF2B5EF4-FFF2-40B4-BE49-F238E27FC236}">
              <a16:creationId xmlns:a16="http://schemas.microsoft.com/office/drawing/2014/main" id="{00000000-0008-0000-0D00-000002000000}"/>
            </a:ext>
          </a:extLst>
        </xdr:cNvPr>
        <xdr:cNvSpPr>
          <a:spLocks noChangeArrowheads="1"/>
        </xdr:cNvSpPr>
      </xdr:nvSpPr>
      <xdr:spPr bwMode="auto">
        <a:xfrm>
          <a:off x="1701165" y="228600"/>
          <a:ext cx="540000" cy="305575"/>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MENU</a:t>
          </a: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2087880</xdr:colOff>
      <xdr:row>2</xdr:row>
      <xdr:rowOff>259080</xdr:rowOff>
    </xdr:to>
    <xdr:pic>
      <xdr:nvPicPr>
        <xdr:cNvPr id="20321" name="Imagem 23">
          <a:extLst>
            <a:ext uri="{FF2B5EF4-FFF2-40B4-BE49-F238E27FC236}">
              <a16:creationId xmlns:a16="http://schemas.microsoft.com/office/drawing/2014/main" id="{00000000-0008-0000-0100-0000614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120" y="190500"/>
          <a:ext cx="2476500" cy="54102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mc:AlternateContent xmlns:mc="http://schemas.openxmlformats.org/markup-compatibility/2006">
    <mc:Choice xmlns:a14="http://schemas.microsoft.com/office/drawing/2010/main" Requires="a14">
      <xdr:twoCellAnchor>
        <xdr:from>
          <xdr:col>2</xdr:col>
          <xdr:colOff>7620</xdr:colOff>
          <xdr:row>4</xdr:row>
          <xdr:rowOff>0</xdr:rowOff>
        </xdr:from>
        <xdr:to>
          <xdr:col>2</xdr:col>
          <xdr:colOff>1264920</xdr:colOff>
          <xdr:row>6</xdr:row>
          <xdr:rowOff>7620</xdr:rowOff>
        </xdr:to>
        <xdr:grpSp>
          <xdr:nvGrpSpPr>
            <xdr:cNvPr id="20322" name="TipoOrçamento">
              <a:extLst>
                <a:ext uri="{FF2B5EF4-FFF2-40B4-BE49-F238E27FC236}">
                  <a16:creationId xmlns:a16="http://schemas.microsoft.com/office/drawing/2014/main" id="{00000000-0008-0000-0100-0000624F0000}"/>
                </a:ext>
              </a:extLst>
            </xdr:cNvPr>
            <xdr:cNvGrpSpPr>
              <a:grpSpLocks/>
            </xdr:cNvGrpSpPr>
          </xdr:nvGrpSpPr>
          <xdr:grpSpPr bwMode="auto">
            <a:xfrm>
              <a:off x="569595" y="971550"/>
              <a:ext cx="1257300" cy="483870"/>
              <a:chOff x="523876" y="971528"/>
              <a:chExt cx="1257300" cy="485775"/>
            </a:xfrm>
          </xdr:grpSpPr>
          <xdr:sp macro="" textlink="">
            <xdr:nvSpPr>
              <xdr:cNvPr id="15377" name="Group Box 17" descr="Tipo de Orçamento          " hidden="1">
                <a:extLst>
                  <a:ext uri="{63B3BB69-23CF-44E3-9099-C40C66FF867C}">
                    <a14:compatExt spid="_x0000_s15377"/>
                  </a:ext>
                  <a:ext uri="{FF2B5EF4-FFF2-40B4-BE49-F238E27FC236}">
                    <a16:creationId xmlns:a16="http://schemas.microsoft.com/office/drawing/2014/main" id="{00000000-0008-0000-0100-0000113C0000}"/>
                  </a:ext>
                </a:extLst>
              </xdr:cNvPr>
              <xdr:cNvSpPr/>
            </xdr:nvSpPr>
            <xdr:spPr bwMode="auto">
              <a:xfrm>
                <a:off x="523876" y="971528"/>
                <a:ext cx="1257300" cy="485775"/>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pt-BR" sz="800" b="0" i="0" u="none" strike="noStrike" baseline="0">
                    <a:solidFill>
                      <a:srgbClr val="000000"/>
                    </a:solidFill>
                    <a:latin typeface="Segoe UI"/>
                    <a:cs typeface="Segoe UI"/>
                  </a:rPr>
                  <a:t>Tipo de Orçamento          </a:t>
                </a:r>
              </a:p>
            </xdr:txBody>
          </xdr:sp>
          <xdr:sp macro="" textlink="">
            <xdr:nvSpPr>
              <xdr:cNvPr id="15453" name="Drop Down 93" hidden="1">
                <a:extLst>
                  <a:ext uri="{63B3BB69-23CF-44E3-9099-C40C66FF867C}">
                    <a14:compatExt spid="_x0000_s15453"/>
                  </a:ext>
                  <a:ext uri="{FF2B5EF4-FFF2-40B4-BE49-F238E27FC236}">
                    <a16:creationId xmlns:a16="http://schemas.microsoft.com/office/drawing/2014/main" id="{00000000-0008-0000-0100-00005D3C0000}"/>
                  </a:ext>
                </a:extLst>
              </xdr:cNvPr>
              <xdr:cNvSpPr/>
            </xdr:nvSpPr>
            <xdr:spPr bwMode="auto">
              <a:xfrm>
                <a:off x="647699" y="1133476"/>
                <a:ext cx="981076" cy="219074"/>
              </a:xfrm>
              <a:prstGeom prst="rect">
                <a:avLst/>
              </a:prstGeom>
              <a:noFill/>
              <a:ln>
                <a:noFill/>
              </a:ln>
              <a:extLst>
                <a:ext uri="{91240B29-F687-4F45-9708-019B960494DF}">
                  <a14:hiddenLine w="9525">
                    <a:no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1363980</xdr:colOff>
          <xdr:row>4</xdr:row>
          <xdr:rowOff>0</xdr:rowOff>
        </xdr:from>
        <xdr:to>
          <xdr:col>3</xdr:col>
          <xdr:colOff>22860</xdr:colOff>
          <xdr:row>6</xdr:row>
          <xdr:rowOff>7620</xdr:rowOff>
        </xdr:to>
        <xdr:grpSp>
          <xdr:nvGrpSpPr>
            <xdr:cNvPr id="20323" name="Acompanhamento">
              <a:extLst>
                <a:ext uri="{FF2B5EF4-FFF2-40B4-BE49-F238E27FC236}">
                  <a16:creationId xmlns:a16="http://schemas.microsoft.com/office/drawing/2014/main" id="{00000000-0008-0000-0100-0000634F0000}"/>
                </a:ext>
              </a:extLst>
            </xdr:cNvPr>
            <xdr:cNvGrpSpPr>
              <a:grpSpLocks/>
            </xdr:cNvGrpSpPr>
          </xdr:nvGrpSpPr>
          <xdr:grpSpPr bwMode="auto">
            <a:xfrm>
              <a:off x="1925955" y="971550"/>
              <a:ext cx="1230630" cy="483870"/>
              <a:chOff x="1790701" y="971522"/>
              <a:chExt cx="1304925" cy="485775"/>
            </a:xfrm>
          </xdr:grpSpPr>
          <xdr:sp macro="" textlink="">
            <xdr:nvSpPr>
              <xdr:cNvPr id="15384" name="Group Box 24" hidden="1">
                <a:extLst>
                  <a:ext uri="{63B3BB69-23CF-44E3-9099-C40C66FF867C}">
                    <a14:compatExt spid="_x0000_s15384"/>
                  </a:ext>
                  <a:ext uri="{FF2B5EF4-FFF2-40B4-BE49-F238E27FC236}">
                    <a16:creationId xmlns:a16="http://schemas.microsoft.com/office/drawing/2014/main" id="{00000000-0008-0000-0100-0000183C0000}"/>
                  </a:ext>
                </a:extLst>
              </xdr:cNvPr>
              <xdr:cNvSpPr/>
            </xdr:nvSpPr>
            <xdr:spPr bwMode="auto">
              <a:xfrm>
                <a:off x="1790701" y="971522"/>
                <a:ext cx="1304925" cy="485775"/>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pt-BR" sz="800" b="0" i="0" u="none" strike="noStrike" baseline="0">
                    <a:solidFill>
                      <a:srgbClr val="000000"/>
                    </a:solidFill>
                    <a:latin typeface="Segoe UI"/>
                    <a:cs typeface="Segoe UI"/>
                  </a:rPr>
                  <a:t>Acompanhamento     </a:t>
                </a:r>
              </a:p>
            </xdr:txBody>
          </xdr:sp>
          <xdr:sp macro="" textlink="">
            <xdr:nvSpPr>
              <xdr:cNvPr id="15454" name="Drop Down 94" hidden="1">
                <a:extLst>
                  <a:ext uri="{63B3BB69-23CF-44E3-9099-C40C66FF867C}">
                    <a14:compatExt spid="_x0000_s15454"/>
                  </a:ext>
                  <a:ext uri="{FF2B5EF4-FFF2-40B4-BE49-F238E27FC236}">
                    <a16:creationId xmlns:a16="http://schemas.microsoft.com/office/drawing/2014/main" id="{00000000-0008-0000-0100-00005E3C0000}"/>
                  </a:ext>
                </a:extLst>
              </xdr:cNvPr>
              <xdr:cNvSpPr/>
            </xdr:nvSpPr>
            <xdr:spPr bwMode="auto">
              <a:xfrm>
                <a:off x="1924050" y="1133475"/>
                <a:ext cx="981075" cy="219075"/>
              </a:xfrm>
              <a:prstGeom prst="rect">
                <a:avLst/>
              </a:prstGeom>
              <a:noFill/>
              <a:ln>
                <a:noFill/>
              </a:ln>
              <a:extLst>
                <a:ext uri="{91240B29-F687-4F45-9708-019B960494DF}">
                  <a14:hiddenLine w="9525">
                    <a:noFill/>
                    <a:miter lim="800000"/>
                    <a:headEnd/>
                    <a:tailEnd/>
                  </a14:hiddenLine>
                </a:ext>
              </a:extLst>
            </xdr:spPr>
          </xdr:sp>
        </xdr:grpSp>
        <xdr:clientData/>
      </xdr:twoCellAnchor>
    </mc:Choice>
    <mc:Fallback/>
  </mc:AlternateContent>
  <xdr:twoCellAnchor>
    <xdr:from>
      <xdr:col>9</xdr:col>
      <xdr:colOff>66676</xdr:colOff>
      <xdr:row>6</xdr:row>
      <xdr:rowOff>160019</xdr:rowOff>
    </xdr:from>
    <xdr:to>
      <xdr:col>9</xdr:col>
      <xdr:colOff>1202056</xdr:colOff>
      <xdr:row>9</xdr:row>
      <xdr:rowOff>38099</xdr:rowOff>
    </xdr:to>
    <xdr:sp macro="[0]!imprimirPROPOSTA" textlink="">
      <xdr:nvSpPr>
        <xdr:cNvPr id="10" name="Bot.ImprimirProposta">
          <a:extLst>
            <a:ext uri="{FF2B5EF4-FFF2-40B4-BE49-F238E27FC236}">
              <a16:creationId xmlns:a16="http://schemas.microsoft.com/office/drawing/2014/main" id="{00000000-0008-0000-0100-00000A000000}"/>
            </a:ext>
          </a:extLst>
        </xdr:cNvPr>
        <xdr:cNvSpPr>
          <a:spLocks noChangeArrowheads="1"/>
        </xdr:cNvSpPr>
      </xdr:nvSpPr>
      <xdr:spPr bwMode="auto">
        <a:xfrm>
          <a:off x="9686926" y="1607819"/>
          <a:ext cx="1135380" cy="478155"/>
        </a:xfrm>
        <a:prstGeom prst="roundRect">
          <a:avLst>
            <a:gd name="adj" fmla="val 16667"/>
          </a:avLst>
        </a:prstGeom>
        <a:solidFill>
          <a:srgbClr val="FFCC99"/>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IMPRIMIR DOCUMENTOS</a:t>
          </a:r>
        </a:p>
      </xdr:txBody>
    </xdr:sp>
    <xdr:clientData/>
  </xdr:twoCellAnchor>
  <xdr:twoCellAnchor>
    <xdr:from>
      <xdr:col>9</xdr:col>
      <xdr:colOff>66675</xdr:colOff>
      <xdr:row>14</xdr:row>
      <xdr:rowOff>160020</xdr:rowOff>
    </xdr:from>
    <xdr:to>
      <xdr:col>9</xdr:col>
      <xdr:colOff>1202055</xdr:colOff>
      <xdr:row>17</xdr:row>
      <xdr:rowOff>38100</xdr:rowOff>
    </xdr:to>
    <xdr:sp macro="[0]!imprimirLICITADO" textlink="">
      <xdr:nvSpPr>
        <xdr:cNvPr id="12" name="Bot.ImprimirLicitacao">
          <a:extLst>
            <a:ext uri="{FF2B5EF4-FFF2-40B4-BE49-F238E27FC236}">
              <a16:creationId xmlns:a16="http://schemas.microsoft.com/office/drawing/2014/main" id="{00000000-0008-0000-0100-00000C000000}"/>
            </a:ext>
          </a:extLst>
        </xdr:cNvPr>
        <xdr:cNvSpPr>
          <a:spLocks noChangeArrowheads="1"/>
        </xdr:cNvSpPr>
      </xdr:nvSpPr>
      <xdr:spPr bwMode="auto">
        <a:xfrm>
          <a:off x="9686925" y="3236595"/>
          <a:ext cx="1135380" cy="478155"/>
        </a:xfrm>
        <a:prstGeom prst="roundRect">
          <a:avLst>
            <a:gd name="adj" fmla="val 16667"/>
          </a:avLst>
        </a:prstGeom>
        <a:solidFill>
          <a:srgbClr val="FFCC99"/>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IMPRIMIR DOCUMENTOS</a:t>
          </a:r>
        </a:p>
      </xdr:txBody>
    </xdr:sp>
    <xdr:clientData/>
  </xdr:twoCellAnchor>
  <xdr:twoCellAnchor>
    <xdr:from>
      <xdr:col>9</xdr:col>
      <xdr:colOff>57150</xdr:colOff>
      <xdr:row>18</xdr:row>
      <xdr:rowOff>142875</xdr:rowOff>
    </xdr:from>
    <xdr:to>
      <xdr:col>9</xdr:col>
      <xdr:colOff>1192530</xdr:colOff>
      <xdr:row>21</xdr:row>
      <xdr:rowOff>28575</xdr:rowOff>
    </xdr:to>
    <xdr:sp macro="[0]!imprimirMedicao" textlink="">
      <xdr:nvSpPr>
        <xdr:cNvPr id="13" name="Bot.ImprimirAcompanhamento">
          <a:extLst>
            <a:ext uri="{FF2B5EF4-FFF2-40B4-BE49-F238E27FC236}">
              <a16:creationId xmlns:a16="http://schemas.microsoft.com/office/drawing/2014/main" id="{00000000-0008-0000-0100-00000D000000}"/>
            </a:ext>
          </a:extLst>
        </xdr:cNvPr>
        <xdr:cNvSpPr>
          <a:spLocks noChangeArrowheads="1"/>
        </xdr:cNvSpPr>
      </xdr:nvSpPr>
      <xdr:spPr bwMode="auto">
        <a:xfrm>
          <a:off x="9677400" y="4086225"/>
          <a:ext cx="1135380" cy="485775"/>
        </a:xfrm>
        <a:prstGeom prst="roundRect">
          <a:avLst>
            <a:gd name="adj" fmla="val 16667"/>
          </a:avLst>
        </a:prstGeom>
        <a:solidFill>
          <a:srgbClr val="FFCC99"/>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IMPRIMIR DOCUMENTOS</a:t>
          </a:r>
        </a:p>
      </xdr:txBody>
    </xdr:sp>
    <xdr:clientData/>
  </xdr:twoCellAnchor>
  <xdr:twoCellAnchor>
    <xdr:from>
      <xdr:col>9</xdr:col>
      <xdr:colOff>66675</xdr:colOff>
      <xdr:row>2</xdr:row>
      <xdr:rowOff>0</xdr:rowOff>
    </xdr:from>
    <xdr:to>
      <xdr:col>11</xdr:col>
      <xdr:colOff>219825</xdr:colOff>
      <xdr:row>5</xdr:row>
      <xdr:rowOff>66675</xdr:rowOff>
    </xdr:to>
    <xdr:sp macro="[0]!Importar_Verif" textlink="">
      <xdr:nvSpPr>
        <xdr:cNvPr id="14" name="Bot.Importar">
          <a:extLst>
            <a:ext uri="{FF2B5EF4-FFF2-40B4-BE49-F238E27FC236}">
              <a16:creationId xmlns:a16="http://schemas.microsoft.com/office/drawing/2014/main" id="{00000000-0008-0000-0100-00000E000000}"/>
            </a:ext>
          </a:extLst>
        </xdr:cNvPr>
        <xdr:cNvSpPr>
          <a:spLocks noChangeArrowheads="1"/>
        </xdr:cNvSpPr>
      </xdr:nvSpPr>
      <xdr:spPr bwMode="auto">
        <a:xfrm>
          <a:off x="9686925" y="476250"/>
          <a:ext cx="1620000" cy="771525"/>
        </a:xfrm>
        <a:prstGeom prst="roundRect">
          <a:avLst>
            <a:gd name="adj" fmla="val 16667"/>
          </a:avLst>
        </a:prstGeom>
        <a:solidFill>
          <a:srgbClr val="FFCC99"/>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IMPORTAR DE OUTRA PLANILHA MÚLTIPLA</a:t>
          </a:r>
        </a:p>
        <a:p>
          <a:pPr algn="ctr" rtl="0">
            <a:defRPr sz="1000"/>
          </a:pPr>
          <a:r>
            <a:rPr lang="pt-BR" sz="1100" b="1" i="0" u="none" strike="noStrike" baseline="0">
              <a:solidFill>
                <a:srgbClr val="000000"/>
              </a:solidFill>
              <a:latin typeface="Calibri"/>
            </a:rPr>
            <a:t>(A PARTIR DA VERSÃO 3)</a:t>
          </a:r>
        </a:p>
      </xdr:txBody>
    </xdr:sp>
    <xdr:clientData/>
  </xdr:twoCellAnchor>
  <mc:AlternateContent xmlns:mc="http://schemas.openxmlformats.org/markup-compatibility/2006">
    <mc:Choice xmlns:a14="http://schemas.microsoft.com/office/drawing/2010/main" Requires="a14">
      <xdr:twoCellAnchor editAs="oneCell">
        <xdr:from>
          <xdr:col>10</xdr:col>
          <xdr:colOff>38100</xdr:colOff>
          <xdr:row>0</xdr:row>
          <xdr:rowOff>47625</xdr:rowOff>
        </xdr:from>
        <xdr:to>
          <xdr:col>13</xdr:col>
          <xdr:colOff>2371725</xdr:colOff>
          <xdr:row>1</xdr:row>
          <xdr:rowOff>28575</xdr:rowOff>
        </xdr:to>
        <xdr:sp macro="" textlink="">
          <xdr:nvSpPr>
            <xdr:cNvPr id="15455" name="Check Box 95" hidden="1">
              <a:extLst>
                <a:ext uri="{63B3BB69-23CF-44E3-9099-C40C66FF867C}">
                  <a14:compatExt spid="_x0000_s15455"/>
                </a:ext>
                <a:ext uri="{FF2B5EF4-FFF2-40B4-BE49-F238E27FC236}">
                  <a16:creationId xmlns:a16="http://schemas.microsoft.com/office/drawing/2014/main" id="{00000000-0008-0000-0100-00005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t-BR" sz="800" b="0" i="0" u="none" strike="noStrike" baseline="0">
                  <a:solidFill>
                    <a:srgbClr val="000000"/>
                  </a:solidFill>
                  <a:latin typeface="Segoe UI"/>
                  <a:cs typeface="Segoe UI"/>
                </a:rPr>
                <a:t>Importar Fórmulas para o Custo Unitário (aba ORÇAMENTO)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1</xdr:row>
          <xdr:rowOff>66675</xdr:rowOff>
        </xdr:from>
        <xdr:to>
          <xdr:col>13</xdr:col>
          <xdr:colOff>2390775</xdr:colOff>
          <xdr:row>1</xdr:row>
          <xdr:rowOff>228600</xdr:rowOff>
        </xdr:to>
        <xdr:sp macro="" textlink="">
          <xdr:nvSpPr>
            <xdr:cNvPr id="15456" name="Check Box 96" hidden="1">
              <a:extLst>
                <a:ext uri="{63B3BB69-23CF-44E3-9099-C40C66FF867C}">
                  <a14:compatExt spid="_x0000_s15456"/>
                </a:ext>
                <a:ext uri="{FF2B5EF4-FFF2-40B4-BE49-F238E27FC236}">
                  <a16:creationId xmlns:a16="http://schemas.microsoft.com/office/drawing/2014/main" id="{00000000-0008-0000-0100-00006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t-BR" sz="800" b="0" i="0" u="none" strike="noStrike" baseline="0">
                  <a:solidFill>
                    <a:srgbClr val="000000"/>
                  </a:solidFill>
                  <a:latin typeface="Segoe UI"/>
                  <a:cs typeface="Segoe UI"/>
                </a:rPr>
                <a:t>Importar Fórmulas para as Quantidades da PLQ (aba CÁLCULO)</a:t>
              </a:r>
            </a:p>
          </xdr:txBody>
        </xdr:sp>
        <xdr:clientData/>
      </xdr:twoCellAnchor>
    </mc:Choice>
    <mc:Fallback/>
  </mc:AlternateContent>
  <xdr:twoCellAnchor>
    <xdr:from>
      <xdr:col>11</xdr:col>
      <xdr:colOff>371475</xdr:colOff>
      <xdr:row>2</xdr:row>
      <xdr:rowOff>28575</xdr:rowOff>
    </xdr:from>
    <xdr:to>
      <xdr:col>13</xdr:col>
      <xdr:colOff>1169100</xdr:colOff>
      <xdr:row>5</xdr:row>
      <xdr:rowOff>89958</xdr:rowOff>
    </xdr:to>
    <xdr:sp macro="[0]!Importar_PO_PLE_QCI" textlink="">
      <xdr:nvSpPr>
        <xdr:cNvPr id="2" name="Bot.Importar">
          <a:extLst>
            <a:ext uri="{FF2B5EF4-FFF2-40B4-BE49-F238E27FC236}">
              <a16:creationId xmlns:a16="http://schemas.microsoft.com/office/drawing/2014/main" id="{00000000-0008-0000-0100-000002000000}"/>
            </a:ext>
          </a:extLst>
        </xdr:cNvPr>
        <xdr:cNvSpPr>
          <a:spLocks noChangeArrowheads="1"/>
        </xdr:cNvSpPr>
      </xdr:nvSpPr>
      <xdr:spPr bwMode="auto">
        <a:xfrm>
          <a:off x="11458575" y="504825"/>
          <a:ext cx="1512000" cy="766233"/>
        </a:xfrm>
        <a:prstGeom prst="roundRect">
          <a:avLst>
            <a:gd name="adj" fmla="val 16667"/>
          </a:avLst>
        </a:prstGeom>
        <a:solidFill>
          <a:srgbClr val="FFCC99"/>
        </a:solidFill>
        <a:ln w="9360">
          <a:solidFill>
            <a:srgbClr val="808080"/>
          </a:solidFill>
          <a:miter lim="800000"/>
          <a:headEnd/>
          <a:tailEnd/>
        </a:ln>
        <a:effectLst/>
      </xdr:spPr>
      <xdr:txBody>
        <a:bodyPr vertOverflow="clip" wrap="square" lIns="27360" tIns="27360" rIns="27360" bIns="27360" anchor="ctr"/>
        <a:lstStyle/>
        <a:p>
          <a:pPr algn="ctr" rtl="0">
            <a:defRPr sz="1000"/>
          </a:pPr>
          <a:r>
            <a:rPr lang="pt-BR" sz="1100" b="1" i="0" u="none" strike="noStrike" baseline="0">
              <a:solidFill>
                <a:srgbClr val="000000"/>
              </a:solidFill>
              <a:latin typeface="+mn-lt"/>
            </a:rPr>
            <a:t>IMPORTAR DE OUTROS MODELOS CAIXA</a:t>
          </a:r>
        </a:p>
        <a:p>
          <a:pPr algn="ctr" rtl="0">
            <a:defRPr sz="1000"/>
          </a:pPr>
          <a:r>
            <a:rPr lang="pt-BR" sz="1100" b="1" i="1" u="none" strike="noStrike" baseline="0">
              <a:solidFill>
                <a:srgbClr val="000000"/>
              </a:solidFill>
              <a:latin typeface="+mn-lt"/>
            </a:rPr>
            <a:t>(PO / PLE / QCI)</a:t>
          </a:r>
        </a:p>
      </xdr:txBody>
    </xdr:sp>
    <xdr:clientData/>
  </xdr:twoCellAnchor>
  <xdr:twoCellAnchor>
    <xdr:from>
      <xdr:col>9</xdr:col>
      <xdr:colOff>28574</xdr:colOff>
      <xdr:row>9</xdr:row>
      <xdr:rowOff>171449</xdr:rowOff>
    </xdr:from>
    <xdr:to>
      <xdr:col>9</xdr:col>
      <xdr:colOff>1246859</xdr:colOff>
      <xdr:row>13</xdr:row>
      <xdr:rowOff>59624</xdr:rowOff>
    </xdr:to>
    <xdr:sp macro="[0]!Verificar_Export_Tgov" textlink="">
      <xdr:nvSpPr>
        <xdr:cNvPr id="3" name="Bot.ImprimirProposta">
          <a:extLst>
            <a:ext uri="{FF2B5EF4-FFF2-40B4-BE49-F238E27FC236}">
              <a16:creationId xmlns:a16="http://schemas.microsoft.com/office/drawing/2014/main" id="{00000000-0008-0000-0100-000003000000}"/>
            </a:ext>
          </a:extLst>
        </xdr:cNvPr>
        <xdr:cNvSpPr>
          <a:spLocks noChangeArrowheads="1"/>
        </xdr:cNvSpPr>
      </xdr:nvSpPr>
      <xdr:spPr bwMode="auto">
        <a:xfrm>
          <a:off x="9648824" y="2219324"/>
          <a:ext cx="1218285" cy="754950"/>
        </a:xfrm>
        <a:prstGeom prst="roundRect">
          <a:avLst>
            <a:gd name="adj" fmla="val 16667"/>
          </a:avLst>
        </a:prstGeom>
        <a:solidFill>
          <a:srgbClr val="FFCC99"/>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GERAR ARQUIVO PARA UPLOAD NO TRANSFEREGOV</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64770</xdr:colOff>
      <xdr:row>0</xdr:row>
      <xdr:rowOff>38100</xdr:rowOff>
    </xdr:from>
    <xdr:to>
      <xdr:col>0</xdr:col>
      <xdr:colOff>636270</xdr:colOff>
      <xdr:row>1</xdr:row>
      <xdr:rowOff>135255</xdr:rowOff>
    </xdr:to>
    <xdr:sp macro="" textlink="">
      <xdr:nvSpPr>
        <xdr:cNvPr id="2050" name="AutoShape 67">
          <a:hlinkClick xmlns:r="http://schemas.openxmlformats.org/officeDocument/2006/relationships" r:id="rId1"/>
          <a:extLst>
            <a:ext uri="{FF2B5EF4-FFF2-40B4-BE49-F238E27FC236}">
              <a16:creationId xmlns:a16="http://schemas.microsoft.com/office/drawing/2014/main" id="{00000000-0008-0000-0200-000002080000}"/>
            </a:ext>
          </a:extLst>
        </xdr:cNvPr>
        <xdr:cNvSpPr>
          <a:spLocks noChangeArrowheads="1"/>
        </xdr:cNvSpPr>
      </xdr:nvSpPr>
      <xdr:spPr bwMode="auto">
        <a:xfrm>
          <a:off x="64770" y="38100"/>
          <a:ext cx="571500" cy="297180"/>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MENU</a:t>
          </a:r>
        </a:p>
      </xdr:txBody>
    </xdr:sp>
    <xdr:clientData fPrintsWithSheet="0"/>
  </xdr:twoCellAnchor>
  <xdr:twoCellAnchor>
    <xdr:from>
      <xdr:col>2</xdr:col>
      <xdr:colOff>2809875</xdr:colOff>
      <xdr:row>0</xdr:row>
      <xdr:rowOff>14817</xdr:rowOff>
    </xdr:from>
    <xdr:to>
      <xdr:col>2</xdr:col>
      <xdr:colOff>3528817</xdr:colOff>
      <xdr:row>1</xdr:row>
      <xdr:rowOff>123825</xdr:rowOff>
    </xdr:to>
    <xdr:sp macro="" textlink="">
      <xdr:nvSpPr>
        <xdr:cNvPr id="2" name="AutoShape 67">
          <a:hlinkClick xmlns:r="http://schemas.openxmlformats.org/officeDocument/2006/relationships" r:id="rId2"/>
          <a:extLst>
            <a:ext uri="{FF2B5EF4-FFF2-40B4-BE49-F238E27FC236}">
              <a16:creationId xmlns:a16="http://schemas.microsoft.com/office/drawing/2014/main" id="{00000000-0008-0000-0200-000002000000}"/>
            </a:ext>
          </a:extLst>
        </xdr:cNvPr>
        <xdr:cNvSpPr>
          <a:spLocks noChangeArrowheads="1"/>
        </xdr:cNvSpPr>
      </xdr:nvSpPr>
      <xdr:spPr bwMode="auto">
        <a:xfrm>
          <a:off x="8096250" y="14817"/>
          <a:ext cx="718942" cy="309033"/>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BDI</a:t>
          </a:r>
        </a:p>
      </xdr:txBody>
    </xdr:sp>
    <xdr:clientData fPrintsWithSheet="0"/>
  </xdr:twoCellAnchor>
  <xdr:twoCellAnchor>
    <xdr:from>
      <xdr:col>2</xdr:col>
      <xdr:colOff>1738117</xdr:colOff>
      <xdr:row>32</xdr:row>
      <xdr:rowOff>0</xdr:rowOff>
    </xdr:from>
    <xdr:to>
      <xdr:col>2</xdr:col>
      <xdr:colOff>3528817</xdr:colOff>
      <xdr:row>33</xdr:row>
      <xdr:rowOff>142875</xdr:rowOff>
    </xdr:to>
    <xdr:sp macro="[0]!IrPara_OrçLicit" textlink="">
      <xdr:nvSpPr>
        <xdr:cNvPr id="4" name="AutoShape 67">
          <a:extLst>
            <a:ext uri="{FF2B5EF4-FFF2-40B4-BE49-F238E27FC236}">
              <a16:creationId xmlns:a16="http://schemas.microsoft.com/office/drawing/2014/main" id="{00000000-0008-0000-0200-000004000000}"/>
            </a:ext>
          </a:extLst>
        </xdr:cNvPr>
        <xdr:cNvSpPr>
          <a:spLocks noChangeArrowheads="1"/>
        </xdr:cNvSpPr>
      </xdr:nvSpPr>
      <xdr:spPr bwMode="auto">
        <a:xfrm>
          <a:off x="7024492" y="5495925"/>
          <a:ext cx="1790700" cy="304800"/>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mn-lt"/>
            </a:rPr>
            <a:t>ORÇAMENTO LICITADO</a:t>
          </a:r>
        </a:p>
      </xdr:txBody>
    </xdr:sp>
    <xdr:clientData fPrintsWithSheet="0"/>
  </xdr:twoCellAnchor>
  <xdr:twoCellAnchor>
    <xdr:from>
      <xdr:col>2</xdr:col>
      <xdr:colOff>2324099</xdr:colOff>
      <xdr:row>43</xdr:row>
      <xdr:rowOff>0</xdr:rowOff>
    </xdr:from>
    <xdr:to>
      <xdr:col>2</xdr:col>
      <xdr:colOff>3528816</xdr:colOff>
      <xdr:row>44</xdr:row>
      <xdr:rowOff>142875</xdr:rowOff>
    </xdr:to>
    <xdr:sp macro="[0]!IrPara_Medição" textlink="">
      <xdr:nvSpPr>
        <xdr:cNvPr id="5" name="AutoShape 67">
          <a:extLst>
            <a:ext uri="{FF2B5EF4-FFF2-40B4-BE49-F238E27FC236}">
              <a16:creationId xmlns:a16="http://schemas.microsoft.com/office/drawing/2014/main" id="{00000000-0008-0000-0200-000005000000}"/>
            </a:ext>
          </a:extLst>
        </xdr:cNvPr>
        <xdr:cNvSpPr>
          <a:spLocks noChangeArrowheads="1"/>
        </xdr:cNvSpPr>
      </xdr:nvSpPr>
      <xdr:spPr bwMode="auto">
        <a:xfrm>
          <a:off x="7610474" y="7372350"/>
          <a:ext cx="1204717" cy="304800"/>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MEDIÇÃO</a:t>
          </a:r>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xdr:from>
      <xdr:col>9</xdr:col>
      <xdr:colOff>30480</xdr:colOff>
      <xdr:row>0</xdr:row>
      <xdr:rowOff>15240</xdr:rowOff>
    </xdr:from>
    <xdr:to>
      <xdr:col>11</xdr:col>
      <xdr:colOff>403860</xdr:colOff>
      <xdr:row>2</xdr:row>
      <xdr:rowOff>38100</xdr:rowOff>
    </xdr:to>
    <xdr:pic>
      <xdr:nvPicPr>
        <xdr:cNvPr id="4848" name="Logo1">
          <a:extLst>
            <a:ext uri="{FF2B5EF4-FFF2-40B4-BE49-F238E27FC236}">
              <a16:creationId xmlns:a16="http://schemas.microsoft.com/office/drawing/2014/main" id="{00000000-0008-0000-0300-0000F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3460" y="15240"/>
          <a:ext cx="1836420" cy="38862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7</xdr:col>
      <xdr:colOff>176741</xdr:colOff>
      <xdr:row>0</xdr:row>
      <xdr:rowOff>50923</xdr:rowOff>
    </xdr:from>
    <xdr:to>
      <xdr:col>8</xdr:col>
      <xdr:colOff>28575</xdr:colOff>
      <xdr:row>1</xdr:row>
      <xdr:rowOff>152400</xdr:rowOff>
    </xdr:to>
    <xdr:sp macro="" textlink="">
      <xdr:nvSpPr>
        <xdr:cNvPr id="4098" name="AutoShape 67">
          <a:hlinkClick xmlns:r="http://schemas.openxmlformats.org/officeDocument/2006/relationships" r:id="rId2"/>
          <a:extLst>
            <a:ext uri="{FF2B5EF4-FFF2-40B4-BE49-F238E27FC236}">
              <a16:creationId xmlns:a16="http://schemas.microsoft.com/office/drawing/2014/main" id="{00000000-0008-0000-0300-000002100000}"/>
            </a:ext>
          </a:extLst>
        </xdr:cNvPr>
        <xdr:cNvSpPr>
          <a:spLocks noChangeArrowheads="1"/>
        </xdr:cNvSpPr>
      </xdr:nvSpPr>
      <xdr:spPr bwMode="auto">
        <a:xfrm>
          <a:off x="176741" y="50923"/>
          <a:ext cx="566209" cy="301502"/>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MENU</a:t>
          </a:r>
        </a:p>
      </xdr:txBody>
    </xdr:sp>
    <xdr:clientData fPrintsWithSheet="0"/>
  </xdr:twoCellAnchor>
  <xdr:twoCellAnchor>
    <xdr:from>
      <xdr:col>7</xdr:col>
      <xdr:colOff>176741</xdr:colOff>
      <xdr:row>2</xdr:row>
      <xdr:rowOff>14817</xdr:rowOff>
    </xdr:from>
    <xdr:to>
      <xdr:col>8</xdr:col>
      <xdr:colOff>28575</xdr:colOff>
      <xdr:row>4</xdr:row>
      <xdr:rowOff>0</xdr:rowOff>
    </xdr:to>
    <xdr:sp macro="" textlink="">
      <xdr:nvSpPr>
        <xdr:cNvPr id="5" name="AutoShape 67">
          <a:hlinkClick xmlns:r="http://schemas.openxmlformats.org/officeDocument/2006/relationships" r:id="rId3"/>
          <a:extLst>
            <a:ext uri="{FF2B5EF4-FFF2-40B4-BE49-F238E27FC236}">
              <a16:creationId xmlns:a16="http://schemas.microsoft.com/office/drawing/2014/main" id="{00000000-0008-0000-0300-000005000000}"/>
            </a:ext>
          </a:extLst>
        </xdr:cNvPr>
        <xdr:cNvSpPr>
          <a:spLocks noChangeArrowheads="1"/>
        </xdr:cNvSpPr>
      </xdr:nvSpPr>
      <xdr:spPr bwMode="auto">
        <a:xfrm>
          <a:off x="176741" y="376767"/>
          <a:ext cx="566209" cy="309033"/>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panose="020F0502020204030204" pitchFamily="34" charset="0"/>
            </a:rPr>
            <a:t>PO</a:t>
          </a:r>
          <a:endParaRPr lang="pt-BR" sz="1100" b="1" i="0" u="none" strike="noStrike" baseline="0">
            <a:solidFill>
              <a:srgbClr val="000000"/>
            </a:solidFill>
            <a:latin typeface="Calibri"/>
          </a:endParaRPr>
        </a:p>
      </xdr:txBody>
    </xdr:sp>
    <xdr:clientData fPrintsWithSheet="0"/>
  </xdr:twoCellAnchor>
  <xdr:twoCellAnchor>
    <xdr:from>
      <xdr:col>7</xdr:col>
      <xdr:colOff>148166</xdr:colOff>
      <xdr:row>6</xdr:row>
      <xdr:rowOff>0</xdr:rowOff>
    </xdr:from>
    <xdr:to>
      <xdr:col>8</xdr:col>
      <xdr:colOff>0</xdr:colOff>
      <xdr:row>6</xdr:row>
      <xdr:rowOff>270000</xdr:rowOff>
    </xdr:to>
    <xdr:sp macro="[0]!IrPara_BDI_1" textlink="">
      <xdr:nvSpPr>
        <xdr:cNvPr id="2" name="AutoShape 67">
          <a:extLst>
            <a:ext uri="{FF2B5EF4-FFF2-40B4-BE49-F238E27FC236}">
              <a16:creationId xmlns:a16="http://schemas.microsoft.com/office/drawing/2014/main" id="{00000000-0008-0000-0300-000002000000}"/>
            </a:ext>
          </a:extLst>
        </xdr:cNvPr>
        <xdr:cNvSpPr>
          <a:spLocks noChangeArrowheads="1"/>
        </xdr:cNvSpPr>
      </xdr:nvSpPr>
      <xdr:spPr bwMode="auto">
        <a:xfrm>
          <a:off x="148166" y="1009650"/>
          <a:ext cx="566209" cy="270000"/>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panose="020F0502020204030204" pitchFamily="34" charset="0"/>
            </a:rPr>
            <a:t>BDI 1</a:t>
          </a:r>
          <a:endParaRPr lang="pt-BR" sz="1100" b="1" i="0" u="none" strike="noStrike" baseline="0">
            <a:solidFill>
              <a:srgbClr val="000000"/>
            </a:solidFill>
            <a:latin typeface="Calibri"/>
          </a:endParaRPr>
        </a:p>
      </xdr:txBody>
    </xdr:sp>
    <xdr:clientData fPrintsWithSheet="0"/>
  </xdr:twoCellAnchor>
  <xdr:twoCellAnchor>
    <xdr:from>
      <xdr:col>7</xdr:col>
      <xdr:colOff>148166</xdr:colOff>
      <xdr:row>7</xdr:row>
      <xdr:rowOff>0</xdr:rowOff>
    </xdr:from>
    <xdr:to>
      <xdr:col>8</xdr:col>
      <xdr:colOff>0</xdr:colOff>
      <xdr:row>8</xdr:row>
      <xdr:rowOff>108075</xdr:rowOff>
    </xdr:to>
    <xdr:sp macro="[0]!IrPara_BDI_2" textlink="">
      <xdr:nvSpPr>
        <xdr:cNvPr id="3" name="AutoShape 67">
          <a:extLst>
            <a:ext uri="{FF2B5EF4-FFF2-40B4-BE49-F238E27FC236}">
              <a16:creationId xmlns:a16="http://schemas.microsoft.com/office/drawing/2014/main" id="{00000000-0008-0000-0300-000003000000}"/>
            </a:ext>
          </a:extLst>
        </xdr:cNvPr>
        <xdr:cNvSpPr>
          <a:spLocks noChangeArrowheads="1"/>
        </xdr:cNvSpPr>
      </xdr:nvSpPr>
      <xdr:spPr bwMode="auto">
        <a:xfrm>
          <a:off x="148166" y="1333500"/>
          <a:ext cx="566209" cy="270000"/>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panose="020F0502020204030204" pitchFamily="34" charset="0"/>
            </a:rPr>
            <a:t>BDI 2</a:t>
          </a:r>
          <a:endParaRPr lang="pt-BR" sz="1100" b="1" i="0" u="none" strike="noStrike" baseline="0">
            <a:solidFill>
              <a:srgbClr val="000000"/>
            </a:solidFill>
            <a:latin typeface="Calibri"/>
          </a:endParaRPr>
        </a:p>
      </xdr:txBody>
    </xdr:sp>
    <xdr:clientData fPrintsWithSheet="0"/>
  </xdr:twoCellAnchor>
  <xdr:twoCellAnchor>
    <xdr:from>
      <xdr:col>7</xdr:col>
      <xdr:colOff>148166</xdr:colOff>
      <xdr:row>8</xdr:row>
      <xdr:rowOff>158625</xdr:rowOff>
    </xdr:from>
    <xdr:to>
      <xdr:col>8</xdr:col>
      <xdr:colOff>0</xdr:colOff>
      <xdr:row>10</xdr:row>
      <xdr:rowOff>104775</xdr:rowOff>
    </xdr:to>
    <xdr:sp macro="[0]!IrPara_BDI_3" textlink="">
      <xdr:nvSpPr>
        <xdr:cNvPr id="4" name="AutoShape 67">
          <a:extLst>
            <a:ext uri="{FF2B5EF4-FFF2-40B4-BE49-F238E27FC236}">
              <a16:creationId xmlns:a16="http://schemas.microsoft.com/office/drawing/2014/main" id="{00000000-0008-0000-0300-000004000000}"/>
            </a:ext>
          </a:extLst>
        </xdr:cNvPr>
        <xdr:cNvSpPr>
          <a:spLocks noChangeArrowheads="1"/>
        </xdr:cNvSpPr>
      </xdr:nvSpPr>
      <xdr:spPr bwMode="auto">
        <a:xfrm>
          <a:off x="148166" y="1654050"/>
          <a:ext cx="566209" cy="270000"/>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panose="020F0502020204030204" pitchFamily="34" charset="0"/>
            </a:rPr>
            <a:t>BDI 3</a:t>
          </a:r>
          <a:endParaRPr lang="pt-BR" sz="1100" b="1" i="0" u="none" strike="noStrike" baseline="0">
            <a:solidFill>
              <a:srgbClr val="000000"/>
            </a:solidFill>
            <a:latin typeface="Calibri"/>
          </a:endParaRPr>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14</xdr:col>
      <xdr:colOff>60960</xdr:colOff>
      <xdr:row>0</xdr:row>
      <xdr:rowOff>15240</xdr:rowOff>
    </xdr:from>
    <xdr:to>
      <xdr:col>15</xdr:col>
      <xdr:colOff>1036320</xdr:colOff>
      <xdr:row>1</xdr:row>
      <xdr:rowOff>167640</xdr:rowOff>
    </xdr:to>
    <xdr:pic>
      <xdr:nvPicPr>
        <xdr:cNvPr id="24130" name="Picture 2">
          <a:extLst>
            <a:ext uri="{FF2B5EF4-FFF2-40B4-BE49-F238E27FC236}">
              <a16:creationId xmlns:a16="http://schemas.microsoft.com/office/drawing/2014/main" id="{00000000-0008-0000-0400-0000425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1140" y="15240"/>
          <a:ext cx="1844040" cy="37338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19</xdr:col>
      <xdr:colOff>9102</xdr:colOff>
      <xdr:row>8</xdr:row>
      <xdr:rowOff>95250</xdr:rowOff>
    </xdr:from>
    <xdr:to>
      <xdr:col>24</xdr:col>
      <xdr:colOff>3810</xdr:colOff>
      <xdr:row>10</xdr:row>
      <xdr:rowOff>141018</xdr:rowOff>
    </xdr:to>
    <xdr:sp macro="" textlink="" fLocksText="0">
      <xdr:nvSpPr>
        <xdr:cNvPr id="5127" name="TextBoxArred">
          <a:extLst>
            <a:ext uri="{FF2B5EF4-FFF2-40B4-BE49-F238E27FC236}">
              <a16:creationId xmlns:a16="http://schemas.microsoft.com/office/drawing/2014/main" id="{00000000-0008-0000-0400-000007140000}"/>
            </a:ext>
          </a:extLst>
        </xdr:cNvPr>
        <xdr:cNvSpPr txBox="1">
          <a:spLocks noChangeArrowheads="1"/>
        </xdr:cNvSpPr>
      </xdr:nvSpPr>
      <xdr:spPr bwMode="auto">
        <a:xfrm flipH="1">
          <a:off x="9457902" y="1381125"/>
          <a:ext cx="4700058" cy="369618"/>
        </a:xfrm>
        <a:prstGeom prst="rect">
          <a:avLst/>
        </a:prstGeom>
        <a:noFill/>
        <a:ln w="6480">
          <a:solidFill>
            <a:srgbClr val="000000"/>
          </a:solidFill>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2680" rIns="27360" bIns="0" anchor="t"/>
        <a:lstStyle/>
        <a:p>
          <a:pPr algn="ctr" rtl="0">
            <a:defRPr sz="1000"/>
          </a:pPr>
          <a:r>
            <a:rPr lang="pt-BR" sz="1000" b="0" i="0" u="none" strike="noStrike" baseline="0">
              <a:solidFill>
                <a:srgbClr val="000000"/>
              </a:solidFill>
              <a:latin typeface="Arial"/>
              <a:cs typeface="Arial"/>
            </a:rPr>
            <a:t>Considerar valores arredondados com (0,00)</a:t>
          </a:r>
        </a:p>
      </xdr:txBody>
    </xdr:sp>
    <xdr:clientData fPrintsWithSheet="0"/>
  </xdr:twoCellAnchor>
  <mc:AlternateContent xmlns:mc="http://schemas.openxmlformats.org/markup-compatibility/2006">
    <mc:Choice xmlns:a14="http://schemas.microsoft.com/office/drawing/2010/main" Requires="a14">
      <xdr:twoCellAnchor>
        <xdr:from>
          <xdr:col>19</xdr:col>
          <xdr:colOff>457200</xdr:colOff>
          <xdr:row>9</xdr:row>
          <xdr:rowOff>66675</xdr:rowOff>
        </xdr:from>
        <xdr:to>
          <xdr:col>19</xdr:col>
          <xdr:colOff>904875</xdr:colOff>
          <xdr:row>10</xdr:row>
          <xdr:rowOff>142875</xdr:rowOff>
        </xdr:to>
        <xdr:sp macro="" textlink="">
          <xdr:nvSpPr>
            <xdr:cNvPr id="5128" name="CaixaArredQuant" hidden="1">
              <a:extLst>
                <a:ext uri="{63B3BB69-23CF-44E3-9099-C40C66FF867C}">
                  <a14:compatExt spid="_x0000_s5128"/>
                </a:ext>
                <a:ext uri="{FF2B5EF4-FFF2-40B4-BE49-F238E27FC236}">
                  <a16:creationId xmlns:a16="http://schemas.microsoft.com/office/drawing/2014/main" id="{00000000-0008-0000-0400-000008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20</xdr:col>
          <xdr:colOff>447675</xdr:colOff>
          <xdr:row>9</xdr:row>
          <xdr:rowOff>66675</xdr:rowOff>
        </xdr:from>
        <xdr:to>
          <xdr:col>20</xdr:col>
          <xdr:colOff>876300</xdr:colOff>
          <xdr:row>10</xdr:row>
          <xdr:rowOff>142875</xdr:rowOff>
        </xdr:to>
        <xdr:sp macro="" textlink="">
          <xdr:nvSpPr>
            <xdr:cNvPr id="5129" name="CaixaArredCustoUnit" hidden="1">
              <a:extLst>
                <a:ext uri="{63B3BB69-23CF-44E3-9099-C40C66FF867C}">
                  <a14:compatExt spid="_x0000_s5129"/>
                </a:ext>
                <a:ext uri="{FF2B5EF4-FFF2-40B4-BE49-F238E27FC236}">
                  <a16:creationId xmlns:a16="http://schemas.microsoft.com/office/drawing/2014/main" id="{00000000-0008-0000-0400-000009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21</xdr:col>
          <xdr:colOff>295275</xdr:colOff>
          <xdr:row>9</xdr:row>
          <xdr:rowOff>66675</xdr:rowOff>
        </xdr:from>
        <xdr:to>
          <xdr:col>21</xdr:col>
          <xdr:colOff>714375</xdr:colOff>
          <xdr:row>10</xdr:row>
          <xdr:rowOff>142875</xdr:rowOff>
        </xdr:to>
        <xdr:sp macro="" textlink="">
          <xdr:nvSpPr>
            <xdr:cNvPr id="5130" name="CaixaArredBDI" hidden="1">
              <a:extLst>
                <a:ext uri="{63B3BB69-23CF-44E3-9099-C40C66FF867C}">
                  <a14:compatExt spid="_x0000_s5130"/>
                </a:ext>
                <a:ext uri="{FF2B5EF4-FFF2-40B4-BE49-F238E27FC236}">
                  <a16:creationId xmlns:a16="http://schemas.microsoft.com/office/drawing/2014/main" id="{00000000-0008-0000-0400-00000A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22</xdr:col>
          <xdr:colOff>371475</xdr:colOff>
          <xdr:row>9</xdr:row>
          <xdr:rowOff>66675</xdr:rowOff>
        </xdr:from>
        <xdr:to>
          <xdr:col>22</xdr:col>
          <xdr:colOff>790575</xdr:colOff>
          <xdr:row>10</xdr:row>
          <xdr:rowOff>142875</xdr:rowOff>
        </xdr:to>
        <xdr:sp macro="" textlink="">
          <xdr:nvSpPr>
            <xdr:cNvPr id="5131" name="CaixaArredPrecoUnit" hidden="1">
              <a:extLst>
                <a:ext uri="{63B3BB69-23CF-44E3-9099-C40C66FF867C}">
                  <a14:compatExt spid="_x0000_s5131"/>
                </a:ext>
                <a:ext uri="{FF2B5EF4-FFF2-40B4-BE49-F238E27FC236}">
                  <a16:creationId xmlns:a16="http://schemas.microsoft.com/office/drawing/2014/main" id="{00000000-0008-0000-0400-00000B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23</xdr:col>
          <xdr:colOff>447675</xdr:colOff>
          <xdr:row>9</xdr:row>
          <xdr:rowOff>47625</xdr:rowOff>
        </xdr:from>
        <xdr:to>
          <xdr:col>23</xdr:col>
          <xdr:colOff>876300</xdr:colOff>
          <xdr:row>10</xdr:row>
          <xdr:rowOff>142875</xdr:rowOff>
        </xdr:to>
        <xdr:sp macro="" textlink="">
          <xdr:nvSpPr>
            <xdr:cNvPr id="5132" name="CaixaArredPrecoTotal" hidden="1">
              <a:extLst>
                <a:ext uri="{63B3BB69-23CF-44E3-9099-C40C66FF867C}">
                  <a14:compatExt spid="_x0000_s5132"/>
                </a:ext>
                <a:ext uri="{FF2B5EF4-FFF2-40B4-BE49-F238E27FC236}">
                  <a16:creationId xmlns:a16="http://schemas.microsoft.com/office/drawing/2014/main" id="{00000000-0008-0000-0400-00000C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PrintsWithSheet="0"/>
      </xdr:twoCellAnchor>
    </mc:Choice>
    <mc:Fallback/>
  </mc:AlternateContent>
  <xdr:twoCellAnchor>
    <xdr:from>
      <xdr:col>12</xdr:col>
      <xdr:colOff>302895</xdr:colOff>
      <xdr:row>0</xdr:row>
      <xdr:rowOff>60116</xdr:rowOff>
    </xdr:from>
    <xdr:to>
      <xdr:col>13</xdr:col>
      <xdr:colOff>440812</xdr:colOff>
      <xdr:row>1</xdr:row>
      <xdr:rowOff>144023</xdr:rowOff>
    </xdr:to>
    <xdr:sp macro="" textlink="">
      <xdr:nvSpPr>
        <xdr:cNvPr id="5133" name="AutoShape 67">
          <a:hlinkClick xmlns:r="http://schemas.openxmlformats.org/officeDocument/2006/relationships" r:id="rId2"/>
          <a:extLst>
            <a:ext uri="{FF2B5EF4-FFF2-40B4-BE49-F238E27FC236}">
              <a16:creationId xmlns:a16="http://schemas.microsoft.com/office/drawing/2014/main" id="{00000000-0008-0000-0400-00000D140000}"/>
            </a:ext>
          </a:extLst>
        </xdr:cNvPr>
        <xdr:cNvSpPr>
          <a:spLocks noChangeArrowheads="1"/>
        </xdr:cNvSpPr>
      </xdr:nvSpPr>
      <xdr:spPr bwMode="auto">
        <a:xfrm>
          <a:off x="546312" y="60116"/>
          <a:ext cx="720000" cy="316740"/>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MENU</a:t>
          </a:r>
        </a:p>
      </xdr:txBody>
    </xdr:sp>
    <xdr:clientData fPrintsWithSheet="0"/>
  </xdr:twoCellAnchor>
  <xdr:twoCellAnchor>
    <xdr:from>
      <xdr:col>14</xdr:col>
      <xdr:colOff>3809</xdr:colOff>
      <xdr:row>8</xdr:row>
      <xdr:rowOff>45710</xdr:rowOff>
    </xdr:from>
    <xdr:to>
      <xdr:col>15</xdr:col>
      <xdr:colOff>397034</xdr:colOff>
      <xdr:row>11</xdr:row>
      <xdr:rowOff>18410</xdr:rowOff>
    </xdr:to>
    <xdr:sp macro="[0]!Linhas.AddLinha" textlink="">
      <xdr:nvSpPr>
        <xdr:cNvPr id="5134" name="AutoShape 67">
          <a:extLst>
            <a:ext uri="{FF2B5EF4-FFF2-40B4-BE49-F238E27FC236}">
              <a16:creationId xmlns:a16="http://schemas.microsoft.com/office/drawing/2014/main" id="{00000000-0008-0000-0400-00000E140000}"/>
            </a:ext>
          </a:extLst>
        </xdr:cNvPr>
        <xdr:cNvSpPr>
          <a:spLocks noChangeArrowheads="1"/>
        </xdr:cNvSpPr>
      </xdr:nvSpPr>
      <xdr:spPr bwMode="auto">
        <a:xfrm>
          <a:off x="1413509" y="1331585"/>
          <a:ext cx="1240950" cy="458475"/>
        </a:xfrm>
        <a:prstGeom prst="roundRect">
          <a:avLst>
            <a:gd name="adj" fmla="val 16667"/>
          </a:avLst>
        </a:prstGeom>
        <a:solidFill>
          <a:srgbClr val="FFCC99"/>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ADICIONAR LINHAS</a:t>
          </a:r>
        </a:p>
      </xdr:txBody>
    </xdr:sp>
    <xdr:clientData fPrintsWithSheet="0"/>
  </xdr:twoCellAnchor>
  <xdr:twoCellAnchor>
    <xdr:from>
      <xdr:col>16</xdr:col>
      <xdr:colOff>836294</xdr:colOff>
      <xdr:row>8</xdr:row>
      <xdr:rowOff>41900</xdr:rowOff>
    </xdr:from>
    <xdr:to>
      <xdr:col>17</xdr:col>
      <xdr:colOff>1025684</xdr:colOff>
      <xdr:row>11</xdr:row>
      <xdr:rowOff>20315</xdr:rowOff>
    </xdr:to>
    <xdr:sp macro="[0]!fixar" textlink="">
      <xdr:nvSpPr>
        <xdr:cNvPr id="5135" name="AutoShape 67">
          <a:extLst>
            <a:ext uri="{FF2B5EF4-FFF2-40B4-BE49-F238E27FC236}">
              <a16:creationId xmlns:a16="http://schemas.microsoft.com/office/drawing/2014/main" id="{00000000-0008-0000-0400-00000F140000}"/>
            </a:ext>
          </a:extLst>
        </xdr:cNvPr>
        <xdr:cNvSpPr>
          <a:spLocks noChangeArrowheads="1"/>
        </xdr:cNvSpPr>
      </xdr:nvSpPr>
      <xdr:spPr bwMode="auto">
        <a:xfrm>
          <a:off x="4141469" y="1327775"/>
          <a:ext cx="1237140" cy="464190"/>
        </a:xfrm>
        <a:prstGeom prst="roundRect">
          <a:avLst>
            <a:gd name="adj" fmla="val 16667"/>
          </a:avLst>
        </a:prstGeom>
        <a:solidFill>
          <a:srgbClr val="FFCC99"/>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FIXAR DESCRIÇÕES</a:t>
          </a:r>
        </a:p>
      </xdr:txBody>
    </xdr:sp>
    <xdr:clientData fPrintsWithSheet="0"/>
  </xdr:twoCellAnchor>
  <xdr:twoCellAnchor>
    <xdr:from>
      <xdr:col>15</xdr:col>
      <xdr:colOff>527684</xdr:colOff>
      <xdr:row>8</xdr:row>
      <xdr:rowOff>38090</xdr:rowOff>
    </xdr:from>
    <xdr:to>
      <xdr:col>16</xdr:col>
      <xdr:colOff>717074</xdr:colOff>
      <xdr:row>11</xdr:row>
      <xdr:rowOff>20315</xdr:rowOff>
    </xdr:to>
    <xdr:sp macro="[0]!Linhas.ExcLinhas" textlink="">
      <xdr:nvSpPr>
        <xdr:cNvPr id="5136" name="AutoShape 67">
          <a:extLst>
            <a:ext uri="{FF2B5EF4-FFF2-40B4-BE49-F238E27FC236}">
              <a16:creationId xmlns:a16="http://schemas.microsoft.com/office/drawing/2014/main" id="{00000000-0008-0000-0400-000010140000}"/>
            </a:ext>
          </a:extLst>
        </xdr:cNvPr>
        <xdr:cNvSpPr>
          <a:spLocks noChangeArrowheads="1"/>
        </xdr:cNvSpPr>
      </xdr:nvSpPr>
      <xdr:spPr bwMode="auto">
        <a:xfrm>
          <a:off x="2785109" y="1323965"/>
          <a:ext cx="1237140" cy="468000"/>
        </a:xfrm>
        <a:prstGeom prst="roundRect">
          <a:avLst>
            <a:gd name="adj" fmla="val 16667"/>
          </a:avLst>
        </a:prstGeom>
        <a:solidFill>
          <a:srgbClr val="FFCC99"/>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EXCLUIR LINHAS</a:t>
          </a:r>
        </a:p>
      </xdr:txBody>
    </xdr:sp>
    <xdr:clientData fPrintsWithSheet="0"/>
  </xdr:twoCellAnchor>
  <xdr:twoCellAnchor>
    <xdr:from>
      <xdr:col>17</xdr:col>
      <xdr:colOff>2535551</xdr:colOff>
      <xdr:row>8</xdr:row>
      <xdr:rowOff>38090</xdr:rowOff>
    </xdr:from>
    <xdr:to>
      <xdr:col>17</xdr:col>
      <xdr:colOff>3765071</xdr:colOff>
      <xdr:row>11</xdr:row>
      <xdr:rowOff>20315</xdr:rowOff>
    </xdr:to>
    <xdr:sp macro="[0]!recuperar" textlink="">
      <xdr:nvSpPr>
        <xdr:cNvPr id="5137" name="AutoShape 67">
          <a:extLst>
            <a:ext uri="{FF2B5EF4-FFF2-40B4-BE49-F238E27FC236}">
              <a16:creationId xmlns:a16="http://schemas.microsoft.com/office/drawing/2014/main" id="{00000000-0008-0000-0400-000011140000}"/>
            </a:ext>
          </a:extLst>
        </xdr:cNvPr>
        <xdr:cNvSpPr>
          <a:spLocks noChangeArrowheads="1"/>
        </xdr:cNvSpPr>
      </xdr:nvSpPr>
      <xdr:spPr bwMode="auto">
        <a:xfrm>
          <a:off x="6888476" y="1323965"/>
          <a:ext cx="1229520" cy="468000"/>
        </a:xfrm>
        <a:prstGeom prst="roundRect">
          <a:avLst>
            <a:gd name="adj" fmla="val 16667"/>
          </a:avLst>
        </a:prstGeom>
        <a:solidFill>
          <a:srgbClr val="FFCC99"/>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RECUPERAR FÓRMULAS</a:t>
          </a:r>
        </a:p>
      </xdr:txBody>
    </xdr:sp>
    <xdr:clientData fPrintsWithSheet="0"/>
  </xdr:twoCellAnchor>
  <xdr:twoCellAnchor>
    <xdr:from>
      <xdr:col>17</xdr:col>
      <xdr:colOff>3889797</xdr:colOff>
      <xdr:row>8</xdr:row>
      <xdr:rowOff>39995</xdr:rowOff>
    </xdr:from>
    <xdr:to>
      <xdr:col>18</xdr:col>
      <xdr:colOff>640662</xdr:colOff>
      <xdr:row>11</xdr:row>
      <xdr:rowOff>8885</xdr:rowOff>
    </xdr:to>
    <xdr:sp macro="[0]!buscarcodigo" textlink="">
      <xdr:nvSpPr>
        <xdr:cNvPr id="14" name="AutoShape 67">
          <a:extLst>
            <a:ext uri="{FF2B5EF4-FFF2-40B4-BE49-F238E27FC236}">
              <a16:creationId xmlns:a16="http://schemas.microsoft.com/office/drawing/2014/main" id="{00000000-0008-0000-0400-00000E000000}"/>
            </a:ext>
          </a:extLst>
        </xdr:cNvPr>
        <xdr:cNvSpPr>
          <a:spLocks noChangeArrowheads="1"/>
        </xdr:cNvSpPr>
      </xdr:nvSpPr>
      <xdr:spPr bwMode="auto">
        <a:xfrm>
          <a:off x="8242722" y="1325870"/>
          <a:ext cx="1132365" cy="454665"/>
        </a:xfrm>
        <a:prstGeom prst="roundRect">
          <a:avLst>
            <a:gd name="adj" fmla="val 16667"/>
          </a:avLst>
        </a:prstGeom>
        <a:solidFill>
          <a:srgbClr val="FFCC99"/>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BUSCAR CÓDIGO</a:t>
          </a:r>
        </a:p>
      </xdr:txBody>
    </xdr:sp>
    <xdr:clientData fPrintsWithSheet="0"/>
  </xdr:twoCellAnchor>
  <xdr:twoCellAnchor>
    <xdr:from>
      <xdr:col>12</xdr:col>
      <xdr:colOff>303953</xdr:colOff>
      <xdr:row>2</xdr:row>
      <xdr:rowOff>21165</xdr:rowOff>
    </xdr:from>
    <xdr:to>
      <xdr:col>13</xdr:col>
      <xdr:colOff>441870</xdr:colOff>
      <xdr:row>4</xdr:row>
      <xdr:rowOff>6348</xdr:rowOff>
    </xdr:to>
    <xdr:sp macro="" textlink="">
      <xdr:nvSpPr>
        <xdr:cNvPr id="15" name="AutoShape 67">
          <a:hlinkClick xmlns:r="http://schemas.openxmlformats.org/officeDocument/2006/relationships" r:id="rId3"/>
          <a:extLst>
            <a:ext uri="{FF2B5EF4-FFF2-40B4-BE49-F238E27FC236}">
              <a16:creationId xmlns:a16="http://schemas.microsoft.com/office/drawing/2014/main" id="{00000000-0008-0000-0400-00000F000000}"/>
            </a:ext>
          </a:extLst>
        </xdr:cNvPr>
        <xdr:cNvSpPr>
          <a:spLocks noChangeArrowheads="1"/>
        </xdr:cNvSpPr>
      </xdr:nvSpPr>
      <xdr:spPr bwMode="auto">
        <a:xfrm>
          <a:off x="547370" y="444498"/>
          <a:ext cx="720000" cy="302683"/>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BDI</a:t>
          </a:r>
        </a:p>
      </xdr:txBody>
    </xdr:sp>
    <xdr:clientData fPrintsWithSheet="0"/>
  </xdr:twoCellAnchor>
  <xdr:twoCellAnchor>
    <xdr:from>
      <xdr:col>12</xdr:col>
      <xdr:colOff>308186</xdr:colOff>
      <xdr:row>4</xdr:row>
      <xdr:rowOff>67730</xdr:rowOff>
    </xdr:from>
    <xdr:to>
      <xdr:col>13</xdr:col>
      <xdr:colOff>446103</xdr:colOff>
      <xdr:row>6</xdr:row>
      <xdr:rowOff>158746</xdr:rowOff>
    </xdr:to>
    <xdr:sp macro="" textlink="">
      <xdr:nvSpPr>
        <xdr:cNvPr id="16" name="AutoShape 67">
          <a:hlinkClick xmlns:r="http://schemas.openxmlformats.org/officeDocument/2006/relationships" r:id="rId4"/>
          <a:extLst>
            <a:ext uri="{FF2B5EF4-FFF2-40B4-BE49-F238E27FC236}">
              <a16:creationId xmlns:a16="http://schemas.microsoft.com/office/drawing/2014/main" id="{00000000-0008-0000-0400-000010000000}"/>
            </a:ext>
          </a:extLst>
        </xdr:cNvPr>
        <xdr:cNvSpPr>
          <a:spLocks noChangeArrowheads="1"/>
        </xdr:cNvSpPr>
      </xdr:nvSpPr>
      <xdr:spPr bwMode="auto">
        <a:xfrm>
          <a:off x="551603" y="808563"/>
          <a:ext cx="720000" cy="302683"/>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panose="020F0502020204030204" pitchFamily="34" charset="0"/>
            </a:rPr>
            <a:t>CÁLCULO</a:t>
          </a:r>
          <a:endParaRPr lang="pt-BR" sz="1100" b="1" i="0" u="none" strike="noStrike" baseline="0">
            <a:solidFill>
              <a:srgbClr val="000000"/>
            </a:solidFill>
            <a:latin typeface="Calibri"/>
          </a:endParaRPr>
        </a:p>
      </xdr:txBody>
    </xdr:sp>
    <xdr:clientData fPrintsWithSheet="0"/>
  </xdr:twoCellAnchor>
  <xdr:twoCellAnchor>
    <xdr:from>
      <xdr:col>12</xdr:col>
      <xdr:colOff>308186</xdr:colOff>
      <xdr:row>7</xdr:row>
      <xdr:rowOff>52920</xdr:rowOff>
    </xdr:from>
    <xdr:to>
      <xdr:col>13</xdr:col>
      <xdr:colOff>446103</xdr:colOff>
      <xdr:row>9</xdr:row>
      <xdr:rowOff>38103</xdr:rowOff>
    </xdr:to>
    <xdr:sp macro="[0]!IrPara_Eventos" textlink="">
      <xdr:nvSpPr>
        <xdr:cNvPr id="2" name="AutoShape 67">
          <a:extLst>
            <a:ext uri="{FF2B5EF4-FFF2-40B4-BE49-F238E27FC236}">
              <a16:creationId xmlns:a16="http://schemas.microsoft.com/office/drawing/2014/main" id="{00000000-0008-0000-0400-000002000000}"/>
            </a:ext>
          </a:extLst>
        </xdr:cNvPr>
        <xdr:cNvSpPr>
          <a:spLocks noChangeArrowheads="1"/>
        </xdr:cNvSpPr>
      </xdr:nvSpPr>
      <xdr:spPr bwMode="auto">
        <a:xfrm>
          <a:off x="551603" y="1164170"/>
          <a:ext cx="720000" cy="302683"/>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000" b="1" i="0" u="none" strike="noStrike" baseline="0">
              <a:solidFill>
                <a:srgbClr val="000000"/>
              </a:solidFill>
              <a:latin typeface="Calibri" panose="020F0502020204030204" pitchFamily="34" charset="0"/>
            </a:rPr>
            <a:t>EVENTOS</a:t>
          </a:r>
          <a:endParaRPr lang="pt-BR" sz="1000" b="1" i="0" u="none" strike="noStrike" baseline="0">
            <a:solidFill>
              <a:srgbClr val="000000"/>
            </a:solidFill>
            <a:latin typeface="Calibri"/>
          </a:endParaRPr>
        </a:p>
      </xdr:txBody>
    </xdr:sp>
    <xdr:clientData fPrintsWithSheet="0"/>
  </xdr:twoCellAnchor>
  <xdr:twoCellAnchor>
    <xdr:from>
      <xdr:col>12</xdr:col>
      <xdr:colOff>308186</xdr:colOff>
      <xdr:row>9</xdr:row>
      <xdr:rowOff>105833</xdr:rowOff>
    </xdr:from>
    <xdr:to>
      <xdr:col>13</xdr:col>
      <xdr:colOff>446103</xdr:colOff>
      <xdr:row>11</xdr:row>
      <xdr:rowOff>90733</xdr:rowOff>
    </xdr:to>
    <xdr:sp macro="[0]!IrPara_Crono" textlink="">
      <xdr:nvSpPr>
        <xdr:cNvPr id="3" name="AutoShape 67">
          <a:extLst>
            <a:ext uri="{FF2B5EF4-FFF2-40B4-BE49-F238E27FC236}">
              <a16:creationId xmlns:a16="http://schemas.microsoft.com/office/drawing/2014/main" id="{00000000-0008-0000-0400-000003000000}"/>
            </a:ext>
          </a:extLst>
        </xdr:cNvPr>
        <xdr:cNvSpPr>
          <a:spLocks noChangeArrowheads="1"/>
        </xdr:cNvSpPr>
      </xdr:nvSpPr>
      <xdr:spPr bwMode="auto">
        <a:xfrm>
          <a:off x="551603" y="1534583"/>
          <a:ext cx="720000" cy="302400"/>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CRONO</a:t>
          </a:r>
        </a:p>
      </xdr:txBody>
    </xdr:sp>
    <xdr:clientData fPrintsWithSheet="0"/>
  </xdr:twoCellAnchor>
  <xdr:twoCellAnchor>
    <xdr:from>
      <xdr:col>17</xdr:col>
      <xdr:colOff>1161837</xdr:colOff>
      <xdr:row>8</xdr:row>
      <xdr:rowOff>41900</xdr:rowOff>
    </xdr:from>
    <xdr:to>
      <xdr:col>17</xdr:col>
      <xdr:colOff>2391357</xdr:colOff>
      <xdr:row>11</xdr:row>
      <xdr:rowOff>20315</xdr:rowOff>
    </xdr:to>
    <xdr:sp macro="[0]!unidade_padrão" textlink="">
      <xdr:nvSpPr>
        <xdr:cNvPr id="4" name="AutoShape 67">
          <a:extLst>
            <a:ext uri="{FF2B5EF4-FFF2-40B4-BE49-F238E27FC236}">
              <a16:creationId xmlns:a16="http://schemas.microsoft.com/office/drawing/2014/main" id="{00000000-0008-0000-0400-000004000000}"/>
            </a:ext>
          </a:extLst>
        </xdr:cNvPr>
        <xdr:cNvSpPr>
          <a:spLocks noChangeArrowheads="1"/>
        </xdr:cNvSpPr>
      </xdr:nvSpPr>
      <xdr:spPr bwMode="auto">
        <a:xfrm>
          <a:off x="5514762" y="1327775"/>
          <a:ext cx="1229520" cy="464190"/>
        </a:xfrm>
        <a:prstGeom prst="roundRect">
          <a:avLst>
            <a:gd name="adj" fmla="val 16667"/>
          </a:avLst>
        </a:prstGeom>
        <a:solidFill>
          <a:srgbClr val="FFCC99"/>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PADRONIZAR UNIDADES</a:t>
          </a: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3</xdr:col>
      <xdr:colOff>315816</xdr:colOff>
      <xdr:row>9</xdr:row>
      <xdr:rowOff>0</xdr:rowOff>
    </xdr:from>
    <xdr:to>
      <xdr:col>3</xdr:col>
      <xdr:colOff>1774965</xdr:colOff>
      <xdr:row>9</xdr:row>
      <xdr:rowOff>304800</xdr:rowOff>
    </xdr:to>
    <xdr:sp macro="[0]!Linhas.AddLinha" textlink="">
      <xdr:nvSpPr>
        <xdr:cNvPr id="7171" name="AutoShape 67">
          <a:extLst>
            <a:ext uri="{FF2B5EF4-FFF2-40B4-BE49-F238E27FC236}">
              <a16:creationId xmlns:a16="http://schemas.microsoft.com/office/drawing/2014/main" id="{00000000-0008-0000-0500-0000031C0000}"/>
            </a:ext>
          </a:extLst>
        </xdr:cNvPr>
        <xdr:cNvSpPr>
          <a:spLocks noChangeArrowheads="1"/>
        </xdr:cNvSpPr>
      </xdr:nvSpPr>
      <xdr:spPr bwMode="auto">
        <a:xfrm>
          <a:off x="1405899" y="1640417"/>
          <a:ext cx="1459149" cy="304800"/>
        </a:xfrm>
        <a:prstGeom prst="roundRect">
          <a:avLst>
            <a:gd name="adj" fmla="val 16667"/>
          </a:avLst>
        </a:prstGeom>
        <a:solidFill>
          <a:srgbClr val="FFCC99"/>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ADICIONAR LINHAS</a:t>
          </a:r>
        </a:p>
      </xdr:txBody>
    </xdr:sp>
    <xdr:clientData fPrintsWithSheet="0"/>
  </xdr:twoCellAnchor>
  <xdr:twoCellAnchor>
    <xdr:from>
      <xdr:col>3</xdr:col>
      <xdr:colOff>1866077</xdr:colOff>
      <xdr:row>9</xdr:row>
      <xdr:rowOff>0</xdr:rowOff>
    </xdr:from>
    <xdr:to>
      <xdr:col>3</xdr:col>
      <xdr:colOff>3302003</xdr:colOff>
      <xdr:row>9</xdr:row>
      <xdr:rowOff>304800</xdr:rowOff>
    </xdr:to>
    <xdr:sp macro="[0]!Linhas.ExcLinhas" textlink="">
      <xdr:nvSpPr>
        <xdr:cNvPr id="7172" name="AutoShape 67">
          <a:extLst>
            <a:ext uri="{FF2B5EF4-FFF2-40B4-BE49-F238E27FC236}">
              <a16:creationId xmlns:a16="http://schemas.microsoft.com/office/drawing/2014/main" id="{00000000-0008-0000-0500-0000041C0000}"/>
            </a:ext>
          </a:extLst>
        </xdr:cNvPr>
        <xdr:cNvSpPr>
          <a:spLocks noChangeArrowheads="1"/>
        </xdr:cNvSpPr>
      </xdr:nvSpPr>
      <xdr:spPr bwMode="auto">
        <a:xfrm>
          <a:off x="2956160" y="1640417"/>
          <a:ext cx="1435926" cy="304800"/>
        </a:xfrm>
        <a:prstGeom prst="roundRect">
          <a:avLst>
            <a:gd name="adj" fmla="val 16667"/>
          </a:avLst>
        </a:prstGeom>
        <a:solidFill>
          <a:srgbClr val="FFCC99"/>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EXCLUIR LINHAS</a:t>
          </a:r>
        </a:p>
      </xdr:txBody>
    </xdr:sp>
    <xdr:clientData fPrintsWithSheet="0"/>
  </xdr:twoCellAnchor>
  <xdr:twoCellAnchor>
    <xdr:from>
      <xdr:col>5</xdr:col>
      <xdr:colOff>95249</xdr:colOff>
      <xdr:row>9</xdr:row>
      <xdr:rowOff>0</xdr:rowOff>
    </xdr:from>
    <xdr:to>
      <xdr:col>5</xdr:col>
      <xdr:colOff>1852083</xdr:colOff>
      <xdr:row>9</xdr:row>
      <xdr:rowOff>304800</xdr:rowOff>
    </xdr:to>
    <xdr:sp macro="" textlink="">
      <xdr:nvSpPr>
        <xdr:cNvPr id="22" name="AutoShape 67">
          <a:hlinkClick xmlns:r="http://schemas.openxmlformats.org/officeDocument/2006/relationships" r:id="rId1"/>
          <a:extLst>
            <a:ext uri="{FF2B5EF4-FFF2-40B4-BE49-F238E27FC236}">
              <a16:creationId xmlns:a16="http://schemas.microsoft.com/office/drawing/2014/main" id="{00000000-0008-0000-0500-000016000000}"/>
            </a:ext>
          </a:extLst>
        </xdr:cNvPr>
        <xdr:cNvSpPr>
          <a:spLocks noChangeArrowheads="1"/>
        </xdr:cNvSpPr>
      </xdr:nvSpPr>
      <xdr:spPr bwMode="auto">
        <a:xfrm>
          <a:off x="4571999" y="1640417"/>
          <a:ext cx="1756834" cy="304800"/>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DEFINIR FRENTES DE OBRA</a:t>
          </a:r>
        </a:p>
      </xdr:txBody>
    </xdr:sp>
    <xdr:clientData fPrintsWithSheet="0"/>
  </xdr:twoCellAnchor>
  <xdr:twoCellAnchor>
    <xdr:from>
      <xdr:col>2</xdr:col>
      <xdr:colOff>31749</xdr:colOff>
      <xdr:row>1</xdr:row>
      <xdr:rowOff>31749</xdr:rowOff>
    </xdr:from>
    <xdr:to>
      <xdr:col>3</xdr:col>
      <xdr:colOff>1007108</xdr:colOff>
      <xdr:row>2</xdr:row>
      <xdr:rowOff>35982</xdr:rowOff>
    </xdr:to>
    <xdr:pic>
      <xdr:nvPicPr>
        <xdr:cNvPr id="2" name="Picture 2">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4999" y="190499"/>
          <a:ext cx="1822026" cy="385233"/>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0</xdr:col>
      <xdr:colOff>95255</xdr:colOff>
      <xdr:row>9</xdr:row>
      <xdr:rowOff>0</xdr:rowOff>
    </xdr:from>
    <xdr:to>
      <xdr:col>2</xdr:col>
      <xdr:colOff>421391</xdr:colOff>
      <xdr:row>9</xdr:row>
      <xdr:rowOff>304800</xdr:rowOff>
    </xdr:to>
    <xdr:sp macro="" textlink="">
      <xdr:nvSpPr>
        <xdr:cNvPr id="3" name="AutoShape 67">
          <a:hlinkClick xmlns:r="http://schemas.openxmlformats.org/officeDocument/2006/relationships" r:id="rId3"/>
          <a:extLst>
            <a:ext uri="{FF2B5EF4-FFF2-40B4-BE49-F238E27FC236}">
              <a16:creationId xmlns:a16="http://schemas.microsoft.com/office/drawing/2014/main" id="{00000000-0008-0000-0500-000003000000}"/>
            </a:ext>
          </a:extLst>
        </xdr:cNvPr>
        <xdr:cNvSpPr>
          <a:spLocks noChangeArrowheads="1"/>
        </xdr:cNvSpPr>
      </xdr:nvSpPr>
      <xdr:spPr bwMode="auto">
        <a:xfrm>
          <a:off x="95255" y="1640417"/>
          <a:ext cx="569553" cy="304800"/>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MENU</a:t>
          </a:r>
        </a:p>
      </xdr:txBody>
    </xdr:sp>
    <xdr:clientData fPrintsWithSheet="0"/>
  </xdr:twoCellAnchor>
  <xdr:twoCellAnchor>
    <xdr:from>
      <xdr:col>2</xdr:col>
      <xdr:colOff>497420</xdr:colOff>
      <xdr:row>9</xdr:row>
      <xdr:rowOff>4022</xdr:rowOff>
    </xdr:from>
    <xdr:to>
      <xdr:col>3</xdr:col>
      <xdr:colOff>229815</xdr:colOff>
      <xdr:row>9</xdr:row>
      <xdr:rowOff>308822</xdr:rowOff>
    </xdr:to>
    <xdr:sp macro="" textlink="">
      <xdr:nvSpPr>
        <xdr:cNvPr id="4" name="AutoShape 67">
          <a:hlinkClick xmlns:r="http://schemas.openxmlformats.org/officeDocument/2006/relationships" r:id="rId4"/>
          <a:extLst>
            <a:ext uri="{FF2B5EF4-FFF2-40B4-BE49-F238E27FC236}">
              <a16:creationId xmlns:a16="http://schemas.microsoft.com/office/drawing/2014/main" id="{00000000-0008-0000-0500-000004000000}"/>
            </a:ext>
          </a:extLst>
        </xdr:cNvPr>
        <xdr:cNvSpPr>
          <a:spLocks noChangeArrowheads="1"/>
        </xdr:cNvSpPr>
      </xdr:nvSpPr>
      <xdr:spPr bwMode="auto">
        <a:xfrm>
          <a:off x="740837" y="1644439"/>
          <a:ext cx="579061" cy="304800"/>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PO</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2</xdr:col>
      <xdr:colOff>152400</xdr:colOff>
      <xdr:row>6</xdr:row>
      <xdr:rowOff>9525</xdr:rowOff>
    </xdr:from>
    <xdr:to>
      <xdr:col>3</xdr:col>
      <xdr:colOff>474303</xdr:colOff>
      <xdr:row>7</xdr:row>
      <xdr:rowOff>123825</xdr:rowOff>
    </xdr:to>
    <xdr:sp macro="" textlink="">
      <xdr:nvSpPr>
        <xdr:cNvPr id="6147" name="AutoShape 67">
          <a:hlinkClick xmlns:r="http://schemas.openxmlformats.org/officeDocument/2006/relationships" r:id="rId1"/>
          <a:extLst>
            <a:ext uri="{FF2B5EF4-FFF2-40B4-BE49-F238E27FC236}">
              <a16:creationId xmlns:a16="http://schemas.microsoft.com/office/drawing/2014/main" id="{00000000-0008-0000-0600-000003180000}"/>
            </a:ext>
          </a:extLst>
        </xdr:cNvPr>
        <xdr:cNvSpPr>
          <a:spLocks noChangeArrowheads="1"/>
        </xdr:cNvSpPr>
      </xdr:nvSpPr>
      <xdr:spPr bwMode="auto">
        <a:xfrm>
          <a:off x="152400" y="209550"/>
          <a:ext cx="561975" cy="304800"/>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MENU</a:t>
          </a:r>
        </a:p>
      </xdr:txBody>
    </xdr:sp>
    <xdr:clientData fPrintsWithSheet="0"/>
  </xdr:twoCellAnchor>
  <xdr:twoCellAnchor>
    <xdr:from>
      <xdr:col>5</xdr:col>
      <xdr:colOff>179070</xdr:colOff>
      <xdr:row>11</xdr:row>
      <xdr:rowOff>266700</xdr:rowOff>
    </xdr:from>
    <xdr:to>
      <xdr:col>5</xdr:col>
      <xdr:colOff>2905076</xdr:colOff>
      <xdr:row>11</xdr:row>
      <xdr:rowOff>571500</xdr:rowOff>
    </xdr:to>
    <xdr:sp macro="[0]!IrPara_Eventos" textlink="">
      <xdr:nvSpPr>
        <xdr:cNvPr id="6148" name="AutoShape 67">
          <a:extLst>
            <a:ext uri="{FF2B5EF4-FFF2-40B4-BE49-F238E27FC236}">
              <a16:creationId xmlns:a16="http://schemas.microsoft.com/office/drawing/2014/main" id="{00000000-0008-0000-0600-000004180000}"/>
            </a:ext>
          </a:extLst>
        </xdr:cNvPr>
        <xdr:cNvSpPr>
          <a:spLocks noChangeArrowheads="1"/>
        </xdr:cNvSpPr>
      </xdr:nvSpPr>
      <xdr:spPr bwMode="auto">
        <a:xfrm>
          <a:off x="1847850" y="1304925"/>
          <a:ext cx="2657475" cy="304800"/>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REDEFINIR AGRUPADORES DE EVENTOS</a:t>
          </a:r>
        </a:p>
      </xdr:txBody>
    </xdr:sp>
    <xdr:clientData fPrintsWithSheet="0"/>
  </xdr:twoCellAnchor>
  <xdr:twoCellAnchor>
    <xdr:from>
      <xdr:col>5</xdr:col>
      <xdr:colOff>2977515</xdr:colOff>
      <xdr:row>11</xdr:row>
      <xdr:rowOff>266700</xdr:rowOff>
    </xdr:from>
    <xdr:to>
      <xdr:col>6</xdr:col>
      <xdr:colOff>26724</xdr:colOff>
      <xdr:row>11</xdr:row>
      <xdr:rowOff>571500</xdr:rowOff>
    </xdr:to>
    <xdr:sp macro="[0]!Colunas.incluirpag" textlink="">
      <xdr:nvSpPr>
        <xdr:cNvPr id="6149" name="AutoShape 67">
          <a:extLst>
            <a:ext uri="{FF2B5EF4-FFF2-40B4-BE49-F238E27FC236}">
              <a16:creationId xmlns:a16="http://schemas.microsoft.com/office/drawing/2014/main" id="{00000000-0008-0000-0600-000005180000}"/>
            </a:ext>
          </a:extLst>
        </xdr:cNvPr>
        <xdr:cNvSpPr>
          <a:spLocks noChangeArrowheads="1"/>
        </xdr:cNvSpPr>
      </xdr:nvSpPr>
      <xdr:spPr bwMode="auto">
        <a:xfrm>
          <a:off x="4562475" y="1304925"/>
          <a:ext cx="1514475" cy="304800"/>
        </a:xfrm>
        <a:prstGeom prst="roundRect">
          <a:avLst>
            <a:gd name="adj" fmla="val 16667"/>
          </a:avLst>
        </a:prstGeom>
        <a:solidFill>
          <a:srgbClr val="FFCC99"/>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ADICIONAR 8 FRENTES</a:t>
          </a:r>
        </a:p>
      </xdr:txBody>
    </xdr:sp>
    <xdr:clientData fPrintsWithSheet="0"/>
  </xdr:twoCellAnchor>
  <xdr:twoCellAnchor>
    <xdr:from>
      <xdr:col>6</xdr:col>
      <xdr:colOff>93345</xdr:colOff>
      <xdr:row>11</xdr:row>
      <xdr:rowOff>266700</xdr:rowOff>
    </xdr:from>
    <xdr:to>
      <xdr:col>7</xdr:col>
      <xdr:colOff>908727</xdr:colOff>
      <xdr:row>11</xdr:row>
      <xdr:rowOff>581025</xdr:rowOff>
    </xdr:to>
    <xdr:sp macro="[0]!Colunas.excluirpag" textlink="">
      <xdr:nvSpPr>
        <xdr:cNvPr id="6150" name="AutoShape 67">
          <a:extLst>
            <a:ext uri="{FF2B5EF4-FFF2-40B4-BE49-F238E27FC236}">
              <a16:creationId xmlns:a16="http://schemas.microsoft.com/office/drawing/2014/main" id="{00000000-0008-0000-0600-000006180000}"/>
            </a:ext>
          </a:extLst>
        </xdr:cNvPr>
        <xdr:cNvSpPr>
          <a:spLocks noChangeArrowheads="1"/>
        </xdr:cNvSpPr>
      </xdr:nvSpPr>
      <xdr:spPr bwMode="auto">
        <a:xfrm>
          <a:off x="6143625" y="1304925"/>
          <a:ext cx="1514475" cy="314325"/>
        </a:xfrm>
        <a:prstGeom prst="roundRect">
          <a:avLst>
            <a:gd name="adj" fmla="val 16667"/>
          </a:avLst>
        </a:prstGeom>
        <a:solidFill>
          <a:srgbClr val="FFCC99"/>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EXCLUIR 8 FRENTES</a:t>
          </a:r>
        </a:p>
      </xdr:txBody>
    </xdr:sp>
    <xdr:clientData fPrintsWithSheet="0"/>
  </xdr:twoCellAnchor>
  <xdr:twoCellAnchor>
    <xdr:from>
      <xdr:col>2</xdr:col>
      <xdr:colOff>137584</xdr:colOff>
      <xdr:row>8</xdr:row>
      <xdr:rowOff>13547</xdr:rowOff>
    </xdr:from>
    <xdr:to>
      <xdr:col>3</xdr:col>
      <xdr:colOff>473228</xdr:colOff>
      <xdr:row>9</xdr:row>
      <xdr:rowOff>157622</xdr:rowOff>
    </xdr:to>
    <xdr:sp macro="" textlink="">
      <xdr:nvSpPr>
        <xdr:cNvPr id="7" name="AutoShape 67">
          <a:hlinkClick xmlns:r="http://schemas.openxmlformats.org/officeDocument/2006/relationships" r:id="rId2"/>
          <a:extLst>
            <a:ext uri="{FF2B5EF4-FFF2-40B4-BE49-F238E27FC236}">
              <a16:creationId xmlns:a16="http://schemas.microsoft.com/office/drawing/2014/main" id="{00000000-0008-0000-0600-000007000000}"/>
            </a:ext>
          </a:extLst>
        </xdr:cNvPr>
        <xdr:cNvSpPr>
          <a:spLocks noChangeArrowheads="1"/>
        </xdr:cNvSpPr>
      </xdr:nvSpPr>
      <xdr:spPr bwMode="auto">
        <a:xfrm>
          <a:off x="137584" y="565997"/>
          <a:ext cx="583294" cy="306000"/>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PO</a:t>
          </a:r>
        </a:p>
      </xdr:txBody>
    </xdr:sp>
    <xdr:clientData fPrintsWithSheet="0"/>
  </xdr:twoCellAnchor>
  <xdr:twoCellAnchor>
    <xdr:from>
      <xdr:col>4</xdr:col>
      <xdr:colOff>0</xdr:colOff>
      <xdr:row>5</xdr:row>
      <xdr:rowOff>21166</xdr:rowOff>
    </xdr:from>
    <xdr:to>
      <xdr:col>5</xdr:col>
      <xdr:colOff>975360</xdr:colOff>
      <xdr:row>7</xdr:row>
      <xdr:rowOff>14816</xdr:rowOff>
    </xdr:to>
    <xdr:pic>
      <xdr:nvPicPr>
        <xdr:cNvPr id="2" name="Picture 2">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25500" y="21166"/>
          <a:ext cx="1822027" cy="385233"/>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2</xdr:col>
      <xdr:colOff>137584</xdr:colOff>
      <xdr:row>10</xdr:row>
      <xdr:rowOff>66675</xdr:rowOff>
    </xdr:from>
    <xdr:to>
      <xdr:col>3</xdr:col>
      <xdr:colOff>473228</xdr:colOff>
      <xdr:row>11</xdr:row>
      <xdr:rowOff>212725</xdr:rowOff>
    </xdr:to>
    <xdr:sp macro="[0]!IrPara_Crono" textlink="">
      <xdr:nvSpPr>
        <xdr:cNvPr id="3" name="AutoShape 67">
          <a:extLst>
            <a:ext uri="{FF2B5EF4-FFF2-40B4-BE49-F238E27FC236}">
              <a16:creationId xmlns:a16="http://schemas.microsoft.com/office/drawing/2014/main" id="{00000000-0008-0000-0600-000003000000}"/>
            </a:ext>
          </a:extLst>
        </xdr:cNvPr>
        <xdr:cNvSpPr>
          <a:spLocks noChangeArrowheads="1"/>
        </xdr:cNvSpPr>
      </xdr:nvSpPr>
      <xdr:spPr bwMode="auto">
        <a:xfrm>
          <a:off x="137584" y="942975"/>
          <a:ext cx="583294" cy="307975"/>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CRONO</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xdr:from>
      <xdr:col>2</xdr:col>
      <xdr:colOff>139065</xdr:colOff>
      <xdr:row>10</xdr:row>
      <xdr:rowOff>0</xdr:rowOff>
    </xdr:from>
    <xdr:to>
      <xdr:col>2</xdr:col>
      <xdr:colOff>826824</xdr:colOff>
      <xdr:row>10</xdr:row>
      <xdr:rowOff>314325</xdr:rowOff>
    </xdr:to>
    <xdr:sp macro="" textlink="">
      <xdr:nvSpPr>
        <xdr:cNvPr id="9218" name="AutoShape 67">
          <a:hlinkClick xmlns:r="http://schemas.openxmlformats.org/officeDocument/2006/relationships" r:id="rId1"/>
          <a:extLst>
            <a:ext uri="{FF2B5EF4-FFF2-40B4-BE49-F238E27FC236}">
              <a16:creationId xmlns:a16="http://schemas.microsoft.com/office/drawing/2014/main" id="{00000000-0008-0000-0700-000002240000}"/>
            </a:ext>
          </a:extLst>
        </xdr:cNvPr>
        <xdr:cNvSpPr>
          <a:spLocks noChangeArrowheads="1"/>
        </xdr:cNvSpPr>
      </xdr:nvSpPr>
      <xdr:spPr bwMode="auto">
        <a:xfrm>
          <a:off x="929640" y="1352550"/>
          <a:ext cx="687759" cy="314325"/>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EVENTOS</a:t>
          </a:r>
        </a:p>
      </xdr:txBody>
    </xdr:sp>
    <xdr:clientData fPrintsWithSheet="0"/>
  </xdr:twoCellAnchor>
  <xdr:twoCellAnchor>
    <xdr:from>
      <xdr:col>2</xdr:col>
      <xdr:colOff>137160</xdr:colOff>
      <xdr:row>10</xdr:row>
      <xdr:rowOff>409575</xdr:rowOff>
    </xdr:from>
    <xdr:to>
      <xdr:col>2</xdr:col>
      <xdr:colOff>1603909</xdr:colOff>
      <xdr:row>10</xdr:row>
      <xdr:rowOff>714375</xdr:rowOff>
    </xdr:to>
    <xdr:sp macro="[0]!CRONO.AtualizarLinhas" textlink="">
      <xdr:nvSpPr>
        <xdr:cNvPr id="9219" name="AutoShape 67">
          <a:extLst>
            <a:ext uri="{FF2B5EF4-FFF2-40B4-BE49-F238E27FC236}">
              <a16:creationId xmlns:a16="http://schemas.microsoft.com/office/drawing/2014/main" id="{00000000-0008-0000-0700-000003240000}"/>
            </a:ext>
          </a:extLst>
        </xdr:cNvPr>
        <xdr:cNvSpPr>
          <a:spLocks noChangeArrowheads="1"/>
        </xdr:cNvSpPr>
      </xdr:nvSpPr>
      <xdr:spPr bwMode="auto">
        <a:xfrm>
          <a:off x="927735" y="1762125"/>
          <a:ext cx="1466749" cy="304800"/>
        </a:xfrm>
        <a:prstGeom prst="roundRect">
          <a:avLst>
            <a:gd name="adj" fmla="val 16667"/>
          </a:avLst>
        </a:prstGeom>
        <a:solidFill>
          <a:srgbClr val="FFCC99"/>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ATUALIZAR LINHAS</a:t>
          </a:r>
        </a:p>
      </xdr:txBody>
    </xdr:sp>
    <xdr:clientData fPrintsWithSheet="0"/>
  </xdr:twoCellAnchor>
  <xdr:twoCellAnchor>
    <xdr:from>
      <xdr:col>1</xdr:col>
      <xdr:colOff>0</xdr:colOff>
      <xdr:row>1</xdr:row>
      <xdr:rowOff>21166</xdr:rowOff>
    </xdr:from>
    <xdr:to>
      <xdr:col>2</xdr:col>
      <xdr:colOff>1282277</xdr:colOff>
      <xdr:row>2</xdr:row>
      <xdr:rowOff>25399</xdr:rowOff>
    </xdr:to>
    <xdr:pic>
      <xdr:nvPicPr>
        <xdr:cNvPr id="2" name="Picture 2">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417" y="21166"/>
          <a:ext cx="1822027" cy="385233"/>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xdr:col>
      <xdr:colOff>19050</xdr:colOff>
      <xdr:row>10</xdr:row>
      <xdr:rowOff>9525</xdr:rowOff>
    </xdr:from>
    <xdr:to>
      <xdr:col>2</xdr:col>
      <xdr:colOff>45678</xdr:colOff>
      <xdr:row>10</xdr:row>
      <xdr:rowOff>314325</xdr:rowOff>
    </xdr:to>
    <xdr:sp macro="" textlink="">
      <xdr:nvSpPr>
        <xdr:cNvPr id="3" name="AutoShape 67">
          <a:hlinkClick xmlns:r="http://schemas.openxmlformats.org/officeDocument/2006/relationships" r:id="rId3"/>
          <a:extLst>
            <a:ext uri="{FF2B5EF4-FFF2-40B4-BE49-F238E27FC236}">
              <a16:creationId xmlns:a16="http://schemas.microsoft.com/office/drawing/2014/main" id="{00000000-0008-0000-0700-000003000000}"/>
            </a:ext>
          </a:extLst>
        </xdr:cNvPr>
        <xdr:cNvSpPr>
          <a:spLocks noChangeArrowheads="1"/>
        </xdr:cNvSpPr>
      </xdr:nvSpPr>
      <xdr:spPr bwMode="auto">
        <a:xfrm>
          <a:off x="266700" y="1362075"/>
          <a:ext cx="569553" cy="304800"/>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MENU</a:t>
          </a:r>
        </a:p>
      </xdr:txBody>
    </xdr:sp>
    <xdr:clientData fPrintsWithSheet="0"/>
  </xdr:twoCellAnchor>
  <xdr:twoCellAnchor>
    <xdr:from>
      <xdr:col>2</xdr:col>
      <xdr:colOff>1672590</xdr:colOff>
      <xdr:row>10</xdr:row>
      <xdr:rowOff>0</xdr:rowOff>
    </xdr:from>
    <xdr:to>
      <xdr:col>2</xdr:col>
      <xdr:colOff>2360349</xdr:colOff>
      <xdr:row>10</xdr:row>
      <xdr:rowOff>314325</xdr:rowOff>
    </xdr:to>
    <xdr:sp macro="" textlink="">
      <xdr:nvSpPr>
        <xdr:cNvPr id="4" name="AutoShape 67">
          <a:hlinkClick xmlns:r="http://schemas.openxmlformats.org/officeDocument/2006/relationships" r:id="rId4"/>
          <a:extLst>
            <a:ext uri="{FF2B5EF4-FFF2-40B4-BE49-F238E27FC236}">
              <a16:creationId xmlns:a16="http://schemas.microsoft.com/office/drawing/2014/main" id="{00000000-0008-0000-0700-000004000000}"/>
            </a:ext>
          </a:extLst>
        </xdr:cNvPr>
        <xdr:cNvSpPr>
          <a:spLocks noChangeArrowheads="1"/>
        </xdr:cNvSpPr>
      </xdr:nvSpPr>
      <xdr:spPr bwMode="auto">
        <a:xfrm>
          <a:off x="2463165" y="1352550"/>
          <a:ext cx="687759" cy="314325"/>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CFF</a:t>
          </a:r>
        </a:p>
      </xdr:txBody>
    </xdr:sp>
    <xdr:clientData fPrintsWithSheet="0"/>
  </xdr:twoCellAnchor>
  <xdr:twoCellAnchor>
    <xdr:from>
      <xdr:col>2</xdr:col>
      <xdr:colOff>901065</xdr:colOff>
      <xdr:row>10</xdr:row>
      <xdr:rowOff>0</xdr:rowOff>
    </xdr:from>
    <xdr:to>
      <xdr:col>2</xdr:col>
      <xdr:colOff>1588824</xdr:colOff>
      <xdr:row>10</xdr:row>
      <xdr:rowOff>314325</xdr:rowOff>
    </xdr:to>
    <xdr:sp macro="" textlink="">
      <xdr:nvSpPr>
        <xdr:cNvPr id="5" name="AutoShape 67">
          <a:hlinkClick xmlns:r="http://schemas.openxmlformats.org/officeDocument/2006/relationships" r:id="rId5"/>
          <a:extLst>
            <a:ext uri="{FF2B5EF4-FFF2-40B4-BE49-F238E27FC236}">
              <a16:creationId xmlns:a16="http://schemas.microsoft.com/office/drawing/2014/main" id="{00000000-0008-0000-0700-000005000000}"/>
            </a:ext>
          </a:extLst>
        </xdr:cNvPr>
        <xdr:cNvSpPr>
          <a:spLocks noChangeArrowheads="1"/>
        </xdr:cNvSpPr>
      </xdr:nvSpPr>
      <xdr:spPr bwMode="auto">
        <a:xfrm>
          <a:off x="1691640" y="1352550"/>
          <a:ext cx="687759" cy="314325"/>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PLQ</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xdr:from>
      <xdr:col>7</xdr:col>
      <xdr:colOff>142875</xdr:colOff>
      <xdr:row>3</xdr:row>
      <xdr:rowOff>85725</xdr:rowOff>
    </xdr:from>
    <xdr:to>
      <xdr:col>7</xdr:col>
      <xdr:colOff>729615</xdr:colOff>
      <xdr:row>4</xdr:row>
      <xdr:rowOff>190500</xdr:rowOff>
    </xdr:to>
    <xdr:sp macro="" textlink="">
      <xdr:nvSpPr>
        <xdr:cNvPr id="8195" name="AutoShape 67">
          <a:hlinkClick xmlns:r="http://schemas.openxmlformats.org/officeDocument/2006/relationships" r:id="rId1"/>
          <a:extLst>
            <a:ext uri="{FF2B5EF4-FFF2-40B4-BE49-F238E27FC236}">
              <a16:creationId xmlns:a16="http://schemas.microsoft.com/office/drawing/2014/main" id="{00000000-0008-0000-0800-000003200000}"/>
            </a:ext>
          </a:extLst>
        </xdr:cNvPr>
        <xdr:cNvSpPr>
          <a:spLocks noChangeArrowheads="1"/>
        </xdr:cNvSpPr>
      </xdr:nvSpPr>
      <xdr:spPr bwMode="auto">
        <a:xfrm>
          <a:off x="3181350" y="571500"/>
          <a:ext cx="571500" cy="304800"/>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MENU</a:t>
          </a:r>
        </a:p>
      </xdr:txBody>
    </xdr:sp>
    <xdr:clientData fPrintsWithSheet="0"/>
  </xdr:twoCellAnchor>
  <xdr:twoCellAnchor>
    <xdr:from>
      <xdr:col>20</xdr:col>
      <xdr:colOff>66676</xdr:colOff>
      <xdr:row>8</xdr:row>
      <xdr:rowOff>93345</xdr:rowOff>
    </xdr:from>
    <xdr:to>
      <xdr:col>22</xdr:col>
      <xdr:colOff>698281</xdr:colOff>
      <xdr:row>10</xdr:row>
      <xdr:rowOff>76147</xdr:rowOff>
    </xdr:to>
    <xdr:sp macro="[0]!IrPara_CronoPLE" textlink="">
      <xdr:nvSpPr>
        <xdr:cNvPr id="8196" name="CRONO.b.preenchEventos">
          <a:extLst>
            <a:ext uri="{FF2B5EF4-FFF2-40B4-BE49-F238E27FC236}">
              <a16:creationId xmlns:a16="http://schemas.microsoft.com/office/drawing/2014/main" id="{00000000-0008-0000-0800-000004200000}"/>
            </a:ext>
          </a:extLst>
        </xdr:cNvPr>
        <xdr:cNvSpPr>
          <a:spLocks noChangeArrowheads="1"/>
        </xdr:cNvSpPr>
      </xdr:nvSpPr>
      <xdr:spPr bwMode="auto">
        <a:xfrm>
          <a:off x="5619751" y="960120"/>
          <a:ext cx="2098455" cy="306652"/>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PREENCHIMENTO POR EVENTOS</a:t>
          </a:r>
        </a:p>
      </xdr:txBody>
    </xdr:sp>
    <xdr:clientData fPrintsWithSheet="0"/>
  </xdr:twoCellAnchor>
  <xdr:twoCellAnchor>
    <xdr:from>
      <xdr:col>8</xdr:col>
      <xdr:colOff>14548</xdr:colOff>
      <xdr:row>8</xdr:row>
      <xdr:rowOff>93345</xdr:rowOff>
    </xdr:from>
    <xdr:to>
      <xdr:col>10</xdr:col>
      <xdr:colOff>17248</xdr:colOff>
      <xdr:row>10</xdr:row>
      <xdr:rowOff>76147</xdr:rowOff>
    </xdr:to>
    <xdr:sp macro="[0]!CRONO.AtualizarLinhas" textlink="">
      <xdr:nvSpPr>
        <xdr:cNvPr id="8197" name="AutoShape 67">
          <a:extLst>
            <a:ext uri="{FF2B5EF4-FFF2-40B4-BE49-F238E27FC236}">
              <a16:creationId xmlns:a16="http://schemas.microsoft.com/office/drawing/2014/main" id="{00000000-0008-0000-0800-000005200000}"/>
            </a:ext>
          </a:extLst>
        </xdr:cNvPr>
        <xdr:cNvSpPr>
          <a:spLocks noChangeArrowheads="1"/>
        </xdr:cNvSpPr>
      </xdr:nvSpPr>
      <xdr:spPr bwMode="auto">
        <a:xfrm>
          <a:off x="1109923" y="960120"/>
          <a:ext cx="1260000" cy="306652"/>
        </a:xfrm>
        <a:prstGeom prst="roundRect">
          <a:avLst>
            <a:gd name="adj" fmla="val 16667"/>
          </a:avLst>
        </a:prstGeom>
        <a:solidFill>
          <a:srgbClr val="FFCC99"/>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ATUALIZAR LINHAS</a:t>
          </a:r>
        </a:p>
      </xdr:txBody>
    </xdr:sp>
    <xdr:clientData fPrintsWithSheet="0"/>
  </xdr:twoCellAnchor>
  <xdr:twoCellAnchor>
    <xdr:from>
      <xdr:col>25</xdr:col>
      <xdr:colOff>223307</xdr:colOff>
      <xdr:row>8</xdr:row>
      <xdr:rowOff>93345</xdr:rowOff>
    </xdr:from>
    <xdr:to>
      <xdr:col>27</xdr:col>
      <xdr:colOff>484457</xdr:colOff>
      <xdr:row>10</xdr:row>
      <xdr:rowOff>76147</xdr:rowOff>
    </xdr:to>
    <xdr:sp macro="[0]!incluirpag" textlink="">
      <xdr:nvSpPr>
        <xdr:cNvPr id="8198" name="AutoShape 67">
          <a:extLst>
            <a:ext uri="{FF2B5EF4-FFF2-40B4-BE49-F238E27FC236}">
              <a16:creationId xmlns:a16="http://schemas.microsoft.com/office/drawing/2014/main" id="{00000000-0008-0000-0800-000006200000}"/>
            </a:ext>
          </a:extLst>
        </xdr:cNvPr>
        <xdr:cNvSpPr>
          <a:spLocks noChangeArrowheads="1"/>
        </xdr:cNvSpPr>
      </xdr:nvSpPr>
      <xdr:spPr bwMode="auto">
        <a:xfrm>
          <a:off x="9443507" y="960120"/>
          <a:ext cx="1728000" cy="306652"/>
        </a:xfrm>
        <a:prstGeom prst="roundRect">
          <a:avLst>
            <a:gd name="adj" fmla="val 16667"/>
          </a:avLst>
        </a:prstGeom>
        <a:solidFill>
          <a:srgbClr val="FFCC99"/>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ADICIONAR 12 PARCELAS</a:t>
          </a:r>
        </a:p>
      </xdr:txBody>
    </xdr:sp>
    <xdr:clientData fPrintsWithSheet="0"/>
  </xdr:twoCellAnchor>
  <xdr:twoCellAnchor>
    <xdr:from>
      <xdr:col>27</xdr:col>
      <xdr:colOff>604308</xdr:colOff>
      <xdr:row>8</xdr:row>
      <xdr:rowOff>93345</xdr:rowOff>
    </xdr:from>
    <xdr:to>
      <xdr:col>29</xdr:col>
      <xdr:colOff>685458</xdr:colOff>
      <xdr:row>10</xdr:row>
      <xdr:rowOff>76147</xdr:rowOff>
    </xdr:to>
    <xdr:sp macro="[0]!excluirpag" textlink="">
      <xdr:nvSpPr>
        <xdr:cNvPr id="8199" name="AutoShape 67">
          <a:extLst>
            <a:ext uri="{FF2B5EF4-FFF2-40B4-BE49-F238E27FC236}">
              <a16:creationId xmlns:a16="http://schemas.microsoft.com/office/drawing/2014/main" id="{00000000-0008-0000-0800-000007200000}"/>
            </a:ext>
          </a:extLst>
        </xdr:cNvPr>
        <xdr:cNvSpPr>
          <a:spLocks noChangeArrowheads="1"/>
        </xdr:cNvSpPr>
      </xdr:nvSpPr>
      <xdr:spPr bwMode="auto">
        <a:xfrm>
          <a:off x="11291358" y="960120"/>
          <a:ext cx="1548000" cy="306652"/>
        </a:xfrm>
        <a:prstGeom prst="roundRect">
          <a:avLst>
            <a:gd name="adj" fmla="val 16667"/>
          </a:avLst>
        </a:prstGeom>
        <a:solidFill>
          <a:srgbClr val="FFCC99"/>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EXCLUIR 12 PARCELAS</a:t>
          </a:r>
        </a:p>
      </xdr:txBody>
    </xdr:sp>
    <xdr:clientData fPrintsWithSheet="0"/>
  </xdr:twoCellAnchor>
  <xdr:twoCellAnchor>
    <xdr:from>
      <xdr:col>8</xdr:col>
      <xdr:colOff>0</xdr:colOff>
      <xdr:row>3</xdr:row>
      <xdr:rowOff>21166</xdr:rowOff>
    </xdr:from>
    <xdr:to>
      <xdr:col>10</xdr:col>
      <xdr:colOff>372110</xdr:colOff>
      <xdr:row>5</xdr:row>
      <xdr:rowOff>25399</xdr:rowOff>
    </xdr:to>
    <xdr:pic>
      <xdr:nvPicPr>
        <xdr:cNvPr id="2" name="Picture 2">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90083" y="21166"/>
          <a:ext cx="1822027" cy="385233"/>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23</xdr:col>
      <xdr:colOff>714375</xdr:colOff>
      <xdr:row>8</xdr:row>
      <xdr:rowOff>93345</xdr:rowOff>
    </xdr:from>
    <xdr:to>
      <xdr:col>24</xdr:col>
      <xdr:colOff>567690</xdr:colOff>
      <xdr:row>10</xdr:row>
      <xdr:rowOff>64770</xdr:rowOff>
    </xdr:to>
    <xdr:sp macro="" textlink="">
      <xdr:nvSpPr>
        <xdr:cNvPr id="3" name="AutoShape 67">
          <a:hlinkClick xmlns:r="http://schemas.openxmlformats.org/officeDocument/2006/relationships" r:id="rId3"/>
          <a:extLst>
            <a:ext uri="{FF2B5EF4-FFF2-40B4-BE49-F238E27FC236}">
              <a16:creationId xmlns:a16="http://schemas.microsoft.com/office/drawing/2014/main" id="{00000000-0008-0000-0800-000003000000}"/>
            </a:ext>
          </a:extLst>
        </xdr:cNvPr>
        <xdr:cNvSpPr>
          <a:spLocks noChangeArrowheads="1"/>
        </xdr:cNvSpPr>
      </xdr:nvSpPr>
      <xdr:spPr bwMode="auto">
        <a:xfrm>
          <a:off x="8467725" y="960120"/>
          <a:ext cx="586740" cy="295275"/>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QCI</a:t>
          </a:r>
        </a:p>
      </xdr:txBody>
    </xdr:sp>
    <xdr:clientData fPrintsWithSheet="0"/>
  </xdr:twoCellAnchor>
  <xdr:twoCellAnchor>
    <xdr:from>
      <xdr:col>23</xdr:col>
      <xdr:colOff>47625</xdr:colOff>
      <xdr:row>8</xdr:row>
      <xdr:rowOff>93345</xdr:rowOff>
    </xdr:from>
    <xdr:to>
      <xdr:col>23</xdr:col>
      <xdr:colOff>634365</xdr:colOff>
      <xdr:row>10</xdr:row>
      <xdr:rowOff>64770</xdr:rowOff>
    </xdr:to>
    <xdr:sp macro="" textlink="">
      <xdr:nvSpPr>
        <xdr:cNvPr id="4" name="AutoShape 67">
          <a:hlinkClick xmlns:r="http://schemas.openxmlformats.org/officeDocument/2006/relationships" r:id="rId4"/>
          <a:extLst>
            <a:ext uri="{FF2B5EF4-FFF2-40B4-BE49-F238E27FC236}">
              <a16:creationId xmlns:a16="http://schemas.microsoft.com/office/drawing/2014/main" id="{00000000-0008-0000-0800-000004000000}"/>
            </a:ext>
          </a:extLst>
        </xdr:cNvPr>
        <xdr:cNvSpPr>
          <a:spLocks noChangeArrowheads="1"/>
        </xdr:cNvSpPr>
      </xdr:nvSpPr>
      <xdr:spPr bwMode="auto">
        <a:xfrm>
          <a:off x="7800975" y="960120"/>
          <a:ext cx="586740" cy="295275"/>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PO</a:t>
          </a:r>
        </a:p>
      </xdr:txBody>
    </xdr:sp>
    <xdr:clientData fPrintsWithSheet="0"/>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4">
    <wetp:webextensionref xmlns:r="http://schemas.openxmlformats.org/officeDocument/2006/relationships" r:id="rId1"/>
  </wetp:taskpane>
</wetp:taskpanes>
</file>

<file path=xl/webextensions/webextension1.xml><?xml version="1.0" encoding="utf-8"?>
<we:webextension xmlns:we="http://schemas.microsoft.com/office/webextensions/webextension/2010/11" id="{09B5FE64-29A5-43B6-A1D7-697A833F88B9}">
  <we:reference id="wa200005271" version="2.5.5.0" store="pt-BR" storeType="OMEX"/>
  <we:alternateReferences>
    <we:reference id="wa200005271" version="2.5.5.0" store="wa200005271" storeType="OMEX"/>
  </we:alternateReferences>
  <we:properties/>
  <we:bindings/>
  <we:snapshot xmlns:r="http://schemas.openxmlformats.org/officeDocument/2006/relationships"/>
  <we:extLst>
    <a:ext xmlns:a="http://schemas.openxmlformats.org/drawingml/2006/main" uri="{D87F86FE-615C-45B5-9D79-34F1136793EB}">
      <we:containsCustomFunctions xmlns=""/>
    </a:ext>
    <a:ext xmlns:a="http://schemas.openxmlformats.org/drawingml/2006/main" uri="{7C84B067-C214-45C3-A712-C9D94CD141B2}">
      <we:customFunctionIdList xmlns="">
        <we:customFunctionIds>_xldudf_AI_TABLE</we:customFunctionIds>
        <we:customFunctionIds>_xldudf_AI_FILL</we:customFunctionIds>
        <we:customFunctionIds>_xldudf_AI_LIST</we:customFunctionIds>
        <we:customFunctionIds>_xldudf_AI_ASK</we:customFunctionIds>
        <we:customFunctionIds>_xldudf_AI_FORMAT</we:customFunctionIds>
        <we:customFunctionIds>_xldudf_AI_EXTRACT</we:customFunctionIds>
        <we:customFunctionIds>_xldudf_AI_TRANSLATE</we:customFunctionIds>
        <we:customFunctionIds>_xldudf_AI_CHOICE</we:customFunctionIds>
      </we:customFunctionIdList>
    </a:ext>
  </we:extLst>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5.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trlProp" Target="../ctrlProps/ctrlProp12.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2.xml"/><Relationship Id="rId1" Type="http://schemas.openxmlformats.org/officeDocument/2006/relationships/printerSettings" Target="../printerSettings/printerSettings12.bin"/><Relationship Id="rId6" Type="http://schemas.openxmlformats.org/officeDocument/2006/relationships/comments" Target="../comments6.xml"/><Relationship Id="rId5" Type="http://schemas.openxmlformats.org/officeDocument/2006/relationships/ctrlProp" Target="../ctrlProps/ctrlProp14.xml"/><Relationship Id="rId4" Type="http://schemas.openxmlformats.org/officeDocument/2006/relationships/ctrlProp" Target="../ctrlProps/ctrlProp13.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11.xml"/><Relationship Id="rId3" Type="http://schemas.openxmlformats.org/officeDocument/2006/relationships/vmlDrawing" Target="../drawings/vmlDrawing4.vml"/><Relationship Id="rId7" Type="http://schemas.openxmlformats.org/officeDocument/2006/relationships/ctrlProp" Target="../ctrlProps/ctrlProp10.x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ctrlProp" Target="../ctrlProps/ctrlProp9.xml"/><Relationship Id="rId5" Type="http://schemas.openxmlformats.org/officeDocument/2006/relationships/ctrlProp" Target="../ctrlProps/ctrlProp8.xml"/><Relationship Id="rId4" Type="http://schemas.openxmlformats.org/officeDocument/2006/relationships/ctrlProp" Target="../ctrlProps/ctrlProp7.xml"/><Relationship Id="rId9"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3"/>
  <dimension ref="A3:E129"/>
  <sheetViews>
    <sheetView showGridLines="0" zoomScaleNormal="100" workbookViewId="0">
      <pane ySplit="3" topLeftCell="A4" activePane="bottomLeft" state="frozen"/>
      <selection pane="bottomLeft"/>
    </sheetView>
  </sheetViews>
  <sheetFormatPr defaultRowHeight="12.75" x14ac:dyDescent="0.2"/>
  <cols>
    <col min="1" max="1" width="8.5703125" customWidth="1"/>
    <col min="2" max="2" width="5.5703125" customWidth="1"/>
    <col min="3" max="3" width="3.5703125" customWidth="1"/>
    <col min="4" max="4" width="130.5703125" customWidth="1"/>
  </cols>
  <sheetData>
    <row r="3" spans="1:4" ht="36.75" customHeight="1" x14ac:dyDescent="0.35">
      <c r="B3" s="41" t="s">
        <v>0</v>
      </c>
    </row>
    <row r="5" spans="1:4" ht="18.75" x14ac:dyDescent="0.3">
      <c r="A5" s="42"/>
      <c r="B5" s="43"/>
      <c r="C5" s="43"/>
      <c r="D5" s="44"/>
    </row>
    <row r="6" spans="1:4" ht="18.75" x14ac:dyDescent="0.3">
      <c r="A6" s="45" t="s">
        <v>1</v>
      </c>
      <c r="B6" s="46"/>
      <c r="C6" s="46"/>
      <c r="D6" s="3"/>
    </row>
    <row r="7" spans="1:4" ht="15" x14ac:dyDescent="0.25">
      <c r="A7" s="4"/>
      <c r="B7" s="47" t="s">
        <v>2</v>
      </c>
      <c r="C7" s="47"/>
      <c r="D7" s="3"/>
    </row>
    <row r="8" spans="1:4" ht="15" x14ac:dyDescent="0.25">
      <c r="A8" s="4"/>
      <c r="B8" s="47"/>
      <c r="C8" s="48" t="str">
        <f>IF(D8&lt;&gt;"","▪","")</f>
        <v>▪</v>
      </c>
      <c r="D8" s="500" t="s">
        <v>3</v>
      </c>
    </row>
    <row r="9" spans="1:4" ht="15" x14ac:dyDescent="0.25">
      <c r="A9" s="4"/>
      <c r="B9" s="47"/>
      <c r="C9" s="48" t="str">
        <f>IF(D9&lt;&gt;"","▪","")</f>
        <v/>
      </c>
      <c r="D9" s="500"/>
    </row>
    <row r="10" spans="1:4" ht="18.75" x14ac:dyDescent="0.3">
      <c r="A10" s="610" t="s">
        <v>4</v>
      </c>
      <c r="B10" s="611"/>
      <c r="C10" s="611"/>
      <c r="D10" s="612"/>
    </row>
    <row r="11" spans="1:4" ht="15" x14ac:dyDescent="0.25">
      <c r="A11" s="4"/>
      <c r="B11" s="47" t="s">
        <v>2</v>
      </c>
      <c r="C11" s="47"/>
      <c r="D11" s="500"/>
    </row>
    <row r="12" spans="1:4" ht="15" x14ac:dyDescent="0.25">
      <c r="A12" s="4"/>
      <c r="B12" s="47"/>
      <c r="C12" s="48" t="str">
        <f>IF(D12&lt;&gt;"","▪","")</f>
        <v>▪</v>
      </c>
      <c r="D12" s="500" t="s">
        <v>5</v>
      </c>
    </row>
    <row r="13" spans="1:4" ht="15" x14ac:dyDescent="0.25">
      <c r="A13" s="4"/>
      <c r="B13" s="47" t="s">
        <v>6</v>
      </c>
      <c r="C13" s="47"/>
      <c r="D13" s="500"/>
    </row>
    <row r="14" spans="1:4" ht="15" x14ac:dyDescent="0.25">
      <c r="A14" s="415"/>
      <c r="B14" s="47"/>
      <c r="C14" s="48" t="str">
        <f>IF(D14&lt;&gt;"","▪","")</f>
        <v>▪</v>
      </c>
      <c r="D14" s="500" t="s">
        <v>7</v>
      </c>
    </row>
    <row r="15" spans="1:4" ht="15" x14ac:dyDescent="0.2">
      <c r="A15" s="415"/>
      <c r="C15" s="48" t="str">
        <f>IF(D15&lt;&gt;"","▪","")</f>
        <v>▪</v>
      </c>
      <c r="D15" s="500" t="s">
        <v>8</v>
      </c>
    </row>
    <row r="16" spans="1:4" x14ac:dyDescent="0.2">
      <c r="A16" s="419"/>
      <c r="D16" s="86"/>
    </row>
    <row r="17" spans="1:4" ht="18.75" x14ac:dyDescent="0.3">
      <c r="A17" s="610" t="s">
        <v>9</v>
      </c>
      <c r="B17" s="611"/>
      <c r="C17" s="611"/>
      <c r="D17" s="612"/>
    </row>
    <row r="18" spans="1:4" ht="15" x14ac:dyDescent="0.25">
      <c r="A18" s="4"/>
      <c r="B18" s="47" t="s">
        <v>2</v>
      </c>
      <c r="C18" s="47"/>
      <c r="D18" s="500"/>
    </row>
    <row r="19" spans="1:4" ht="15" x14ac:dyDescent="0.25">
      <c r="A19" s="4"/>
      <c r="B19" s="47"/>
      <c r="C19" s="48" t="str">
        <f>IF(D19&lt;&gt;"","▪","")</f>
        <v>▪</v>
      </c>
      <c r="D19" s="500" t="s">
        <v>5</v>
      </c>
    </row>
    <row r="20" spans="1:4" ht="15" x14ac:dyDescent="0.25">
      <c r="A20" s="4"/>
      <c r="B20" s="47"/>
      <c r="C20" s="48" t="str">
        <f>IF(D20&lt;&gt;"","▪","")</f>
        <v>▪</v>
      </c>
      <c r="D20" s="500" t="s">
        <v>10</v>
      </c>
    </row>
    <row r="21" spans="1:4" ht="15" x14ac:dyDescent="0.25">
      <c r="A21" s="415"/>
      <c r="B21" s="47" t="s">
        <v>11</v>
      </c>
      <c r="C21" s="47"/>
      <c r="D21" s="500"/>
    </row>
    <row r="22" spans="1:4" ht="15" x14ac:dyDescent="0.25">
      <c r="A22" s="415"/>
      <c r="B22" s="47"/>
      <c r="C22" s="48" t="str">
        <f>IF(D22&lt;&gt;"","▪","")</f>
        <v>▪</v>
      </c>
      <c r="D22" s="500" t="s">
        <v>12</v>
      </c>
    </row>
    <row r="23" spans="1:4" ht="15" x14ac:dyDescent="0.25">
      <c r="A23" s="415"/>
      <c r="B23" s="47" t="s">
        <v>13</v>
      </c>
      <c r="C23" s="47"/>
      <c r="D23" s="500"/>
    </row>
    <row r="24" spans="1:4" ht="15" x14ac:dyDescent="0.25">
      <c r="A24" s="415"/>
      <c r="B24" s="47"/>
      <c r="C24" s="48" t="str">
        <f>IF(D24&lt;&gt;"","▪","")</f>
        <v>▪</v>
      </c>
      <c r="D24" s="500" t="s">
        <v>14</v>
      </c>
    </row>
    <row r="25" spans="1:4" ht="15" x14ac:dyDescent="0.25">
      <c r="A25" s="415"/>
      <c r="B25" s="47" t="s">
        <v>15</v>
      </c>
      <c r="C25" s="47"/>
      <c r="D25" s="500"/>
    </row>
    <row r="26" spans="1:4" ht="15" x14ac:dyDescent="0.25">
      <c r="A26" s="415"/>
      <c r="B26" s="47"/>
      <c r="C26" s="48" t="str">
        <f>IF(D26&lt;&gt;"","▪","")</f>
        <v>▪</v>
      </c>
      <c r="D26" s="500" t="s">
        <v>16</v>
      </c>
    </row>
    <row r="27" spans="1:4" ht="15" x14ac:dyDescent="0.25">
      <c r="A27" s="415"/>
      <c r="B27" s="47" t="s">
        <v>17</v>
      </c>
      <c r="C27" s="47"/>
      <c r="D27" s="500"/>
    </row>
    <row r="28" spans="1:4" ht="15" x14ac:dyDescent="0.25">
      <c r="A28" s="415"/>
      <c r="B28" s="47"/>
      <c r="C28" s="48" t="str">
        <f>IF(D28&lt;&gt;"","▪","")</f>
        <v>▪</v>
      </c>
      <c r="D28" s="500" t="s">
        <v>18</v>
      </c>
    </row>
    <row r="29" spans="1:4" x14ac:dyDescent="0.2">
      <c r="A29" s="419"/>
      <c r="D29" s="86"/>
    </row>
    <row r="30" spans="1:4" ht="18.75" x14ac:dyDescent="0.3">
      <c r="A30" s="610" t="s">
        <v>19</v>
      </c>
      <c r="B30" s="611"/>
      <c r="C30" s="611"/>
      <c r="D30" s="612"/>
    </row>
    <row r="31" spans="1:4" ht="15" x14ac:dyDescent="0.25">
      <c r="A31" s="4"/>
      <c r="B31" s="47" t="s">
        <v>2</v>
      </c>
      <c r="C31" s="47"/>
      <c r="D31" s="500"/>
    </row>
    <row r="32" spans="1:4" ht="15" x14ac:dyDescent="0.25">
      <c r="A32" s="4"/>
      <c r="B32" s="47"/>
      <c r="C32" s="48" t="str">
        <f>IF(D32&lt;&gt;"","▪","")</f>
        <v>▪</v>
      </c>
      <c r="D32" s="500" t="s">
        <v>10</v>
      </c>
    </row>
    <row r="33" spans="1:5" ht="15" x14ac:dyDescent="0.25">
      <c r="A33" s="4"/>
      <c r="B33" s="47" t="s">
        <v>20</v>
      </c>
      <c r="C33" s="48"/>
      <c r="D33" s="500"/>
    </row>
    <row r="34" spans="1:5" ht="15" x14ac:dyDescent="0.25">
      <c r="A34" s="4"/>
      <c r="B34" s="47"/>
      <c r="C34" s="48" t="str">
        <f>IF(D34&lt;&gt;"","▪","")</f>
        <v>▪</v>
      </c>
      <c r="D34" s="500" t="s">
        <v>21</v>
      </c>
    </row>
    <row r="35" spans="1:5" ht="15" x14ac:dyDescent="0.25">
      <c r="A35" s="4"/>
      <c r="B35" s="47"/>
      <c r="C35" s="47"/>
      <c r="D35" s="501"/>
      <c r="E35" s="47"/>
    </row>
    <row r="36" spans="1:5" x14ac:dyDescent="0.2">
      <c r="A36" s="419"/>
      <c r="D36" s="86"/>
    </row>
    <row r="37" spans="1:5" ht="18.75" x14ac:dyDescent="0.3">
      <c r="A37" s="610" t="s">
        <v>22</v>
      </c>
      <c r="B37" s="611"/>
      <c r="C37" s="611"/>
      <c r="D37" s="612"/>
    </row>
    <row r="38" spans="1:5" ht="15" x14ac:dyDescent="0.25">
      <c r="A38" s="4"/>
      <c r="B38" s="47" t="s">
        <v>23</v>
      </c>
      <c r="C38" s="47"/>
      <c r="D38" s="500"/>
    </row>
    <row r="39" spans="1:5" ht="15" x14ac:dyDescent="0.25">
      <c r="A39" s="4"/>
      <c r="B39" s="47"/>
      <c r="C39" s="48" t="str">
        <f>IF(D39&lt;&gt;"","▪","")</f>
        <v>▪</v>
      </c>
      <c r="D39" s="500" t="s">
        <v>24</v>
      </c>
    </row>
    <row r="40" spans="1:5" ht="15" x14ac:dyDescent="0.25">
      <c r="A40" s="4"/>
      <c r="B40" s="47" t="s">
        <v>13</v>
      </c>
      <c r="C40" s="47"/>
      <c r="D40" s="500"/>
    </row>
    <row r="41" spans="1:5" ht="15" x14ac:dyDescent="0.25">
      <c r="A41" s="4"/>
      <c r="B41" s="47"/>
      <c r="C41" s="48" t="str">
        <f>IF(D41&lt;&gt;"","▪","")</f>
        <v>▪</v>
      </c>
      <c r="D41" s="500" t="s">
        <v>25</v>
      </c>
    </row>
    <row r="42" spans="1:5" ht="15" x14ac:dyDescent="0.25">
      <c r="A42" s="4"/>
      <c r="B42" s="47" t="s">
        <v>15</v>
      </c>
      <c r="C42" s="47"/>
      <c r="D42" s="500"/>
      <c r="E42" s="47"/>
    </row>
    <row r="43" spans="1:5" ht="15" x14ac:dyDescent="0.25">
      <c r="A43" s="4"/>
      <c r="B43" s="47"/>
      <c r="C43" s="48" t="str">
        <f>IF(D43&lt;&gt;"","▪","")</f>
        <v>▪</v>
      </c>
      <c r="D43" s="500" t="s">
        <v>26</v>
      </c>
    </row>
    <row r="44" spans="1:5" ht="15" x14ac:dyDescent="0.25">
      <c r="A44" s="4"/>
      <c r="B44" s="47"/>
      <c r="C44" s="47"/>
      <c r="D44" s="501"/>
    </row>
    <row r="45" spans="1:5" ht="18.75" x14ac:dyDescent="0.3">
      <c r="A45" s="610" t="s">
        <v>27</v>
      </c>
      <c r="B45" s="611"/>
      <c r="C45" s="611"/>
      <c r="D45" s="612"/>
    </row>
    <row r="46" spans="1:5" ht="15" x14ac:dyDescent="0.25">
      <c r="A46" s="4"/>
      <c r="B46" s="47" t="s">
        <v>2</v>
      </c>
      <c r="C46" s="47"/>
      <c r="D46" s="500"/>
    </row>
    <row r="47" spans="1:5" ht="15" x14ac:dyDescent="0.25">
      <c r="A47" s="4"/>
      <c r="B47" s="47"/>
      <c r="C47" s="48" t="str">
        <f>IF(D47&lt;&gt;"","▪","")</f>
        <v>▪</v>
      </c>
      <c r="D47" s="500" t="s">
        <v>28</v>
      </c>
    </row>
    <row r="48" spans="1:5" ht="15" x14ac:dyDescent="0.25">
      <c r="A48" s="4"/>
      <c r="B48" s="47"/>
      <c r="C48" s="47"/>
      <c r="D48" s="501"/>
    </row>
    <row r="49" spans="1:4" ht="18.75" x14ac:dyDescent="0.3">
      <c r="A49" s="610" t="s">
        <v>29</v>
      </c>
      <c r="B49" s="611"/>
      <c r="C49" s="611"/>
      <c r="D49" s="612"/>
    </row>
    <row r="50" spans="1:4" ht="15" x14ac:dyDescent="0.25">
      <c r="A50" s="4"/>
      <c r="B50" s="47" t="s">
        <v>2</v>
      </c>
      <c r="C50" s="47"/>
      <c r="D50" s="500"/>
    </row>
    <row r="51" spans="1:4" ht="15" x14ac:dyDescent="0.25">
      <c r="A51" s="4"/>
      <c r="B51" s="47"/>
      <c r="C51" s="48" t="str">
        <f>IF(D51&lt;&gt;"","▪","")</f>
        <v>▪</v>
      </c>
      <c r="D51" s="500" t="s">
        <v>30</v>
      </c>
    </row>
    <row r="52" spans="1:4" ht="15" x14ac:dyDescent="0.25">
      <c r="A52" s="4"/>
      <c r="B52" s="47"/>
      <c r="C52" s="48" t="str">
        <f>IF(D52&lt;&gt;"","▪","")</f>
        <v>▪</v>
      </c>
      <c r="D52" s="500" t="s">
        <v>31</v>
      </c>
    </row>
    <row r="53" spans="1:4" ht="15" x14ac:dyDescent="0.25">
      <c r="A53" s="4"/>
      <c r="B53" s="47"/>
      <c r="C53" s="47"/>
      <c r="D53" s="501"/>
    </row>
    <row r="54" spans="1:4" ht="18.75" x14ac:dyDescent="0.3">
      <c r="A54" s="613" t="s">
        <v>32</v>
      </c>
      <c r="B54" s="611"/>
      <c r="C54" s="611"/>
      <c r="D54" s="612"/>
    </row>
    <row r="55" spans="1:4" ht="15" x14ac:dyDescent="0.25">
      <c r="A55" s="415"/>
      <c r="B55" s="47" t="s">
        <v>2</v>
      </c>
      <c r="C55" s="47"/>
      <c r="D55" s="500"/>
    </row>
    <row r="56" spans="1:4" ht="15" x14ac:dyDescent="0.25">
      <c r="A56" s="415"/>
      <c r="B56" s="47"/>
      <c r="C56" s="48" t="str">
        <f t="shared" ref="C56" si="0">IF(D56&lt;&gt;"","▪","")</f>
        <v>▪</v>
      </c>
      <c r="D56" s="500" t="s">
        <v>33</v>
      </c>
    </row>
    <row r="57" spans="1:4" ht="30" customHeight="1" x14ac:dyDescent="0.25">
      <c r="A57" s="415"/>
      <c r="B57" s="47"/>
      <c r="C57" s="48" t="str">
        <f t="shared" ref="C57:C62" si="1">IF(D57&lt;&gt;"","▪","")</f>
        <v>▪</v>
      </c>
      <c r="D57" s="500" t="s">
        <v>34</v>
      </c>
    </row>
    <row r="58" spans="1:4" ht="30" customHeight="1" x14ac:dyDescent="0.25">
      <c r="A58" s="415"/>
      <c r="B58" s="47"/>
      <c r="C58" s="48" t="str">
        <f t="shared" si="1"/>
        <v>▪</v>
      </c>
      <c r="D58" s="500" t="s">
        <v>35</v>
      </c>
    </row>
    <row r="59" spans="1:4" ht="30" customHeight="1" x14ac:dyDescent="0.25">
      <c r="A59" s="415"/>
      <c r="B59" s="47"/>
      <c r="C59" s="48" t="str">
        <f t="shared" si="1"/>
        <v>▪</v>
      </c>
      <c r="D59" s="500" t="s">
        <v>36</v>
      </c>
    </row>
    <row r="60" spans="1:4" ht="25.5" x14ac:dyDescent="0.25">
      <c r="A60" s="415"/>
      <c r="B60" s="47"/>
      <c r="C60" s="48" t="str">
        <f t="shared" si="1"/>
        <v>▪</v>
      </c>
      <c r="D60" s="500" t="s">
        <v>37</v>
      </c>
    </row>
    <row r="61" spans="1:4" ht="15" x14ac:dyDescent="0.25">
      <c r="A61" s="415"/>
      <c r="B61" s="47"/>
      <c r="C61" s="48" t="str">
        <f t="shared" si="1"/>
        <v>▪</v>
      </c>
      <c r="D61" s="500" t="s">
        <v>38</v>
      </c>
    </row>
    <row r="62" spans="1:4" ht="30" customHeight="1" x14ac:dyDescent="0.25">
      <c r="A62" s="415"/>
      <c r="B62" s="47"/>
      <c r="C62" s="48" t="str">
        <f t="shared" si="1"/>
        <v>▪</v>
      </c>
      <c r="D62" s="500" t="s">
        <v>39</v>
      </c>
    </row>
    <row r="63" spans="1:4" ht="15" x14ac:dyDescent="0.25">
      <c r="A63" s="415"/>
      <c r="B63" s="47" t="s">
        <v>40</v>
      </c>
      <c r="C63" s="47"/>
      <c r="D63" s="500"/>
    </row>
    <row r="64" spans="1:4" ht="15" x14ac:dyDescent="0.25">
      <c r="A64" s="415"/>
      <c r="B64" s="47"/>
      <c r="C64" s="48" t="str">
        <f>IF(D64&lt;&gt;"","▪","")</f>
        <v>▪</v>
      </c>
      <c r="D64" s="500" t="s">
        <v>41</v>
      </c>
    </row>
    <row r="65" spans="1:4" ht="15" x14ac:dyDescent="0.25">
      <c r="A65" s="415"/>
      <c r="B65" s="47"/>
      <c r="C65" s="48" t="str">
        <f>IF(D65&lt;&gt;"","▪","")</f>
        <v>▪</v>
      </c>
      <c r="D65" s="500" t="s">
        <v>42</v>
      </c>
    </row>
    <row r="66" spans="1:4" ht="15" x14ac:dyDescent="0.25">
      <c r="A66" s="415"/>
      <c r="B66" s="47"/>
      <c r="C66" s="48"/>
      <c r="D66" s="502" t="s">
        <v>43</v>
      </c>
    </row>
    <row r="67" spans="1:4" ht="15" x14ac:dyDescent="0.25">
      <c r="A67" s="415"/>
      <c r="B67" s="47"/>
      <c r="C67" s="48" t="str">
        <f>IF(D67&lt;&gt;"","▪","")</f>
        <v>▪</v>
      </c>
      <c r="D67" s="500" t="s">
        <v>44</v>
      </c>
    </row>
    <row r="68" spans="1:4" ht="15" x14ac:dyDescent="0.25">
      <c r="A68" s="415"/>
      <c r="B68" s="47"/>
      <c r="C68" s="48"/>
      <c r="D68" s="502" t="s">
        <v>45</v>
      </c>
    </row>
    <row r="69" spans="1:4" ht="15" x14ac:dyDescent="0.25">
      <c r="A69" s="415"/>
      <c r="B69" s="47"/>
      <c r="C69" s="48" t="str">
        <f>IF(D69&lt;&gt;"","▪","")</f>
        <v>▪</v>
      </c>
      <c r="D69" s="500" t="s">
        <v>46</v>
      </c>
    </row>
    <row r="70" spans="1:4" ht="15" x14ac:dyDescent="0.25">
      <c r="A70" s="415"/>
      <c r="B70" s="47"/>
      <c r="C70" s="48" t="str">
        <f>IF(D70&lt;&gt;"","▪","")</f>
        <v>▪</v>
      </c>
      <c r="D70" s="500" t="s">
        <v>47</v>
      </c>
    </row>
    <row r="71" spans="1:4" ht="15" x14ac:dyDescent="0.25">
      <c r="A71" s="415"/>
      <c r="B71" s="47" t="s">
        <v>23</v>
      </c>
      <c r="C71" s="47"/>
      <c r="D71" s="500"/>
    </row>
    <row r="72" spans="1:4" ht="15" x14ac:dyDescent="0.25">
      <c r="A72" s="415"/>
      <c r="B72" s="47"/>
      <c r="C72" s="48" t="str">
        <f>IF(D72&lt;&gt;"","▪","")</f>
        <v>▪</v>
      </c>
      <c r="D72" s="500" t="s">
        <v>48</v>
      </c>
    </row>
    <row r="73" spans="1:4" ht="15" x14ac:dyDescent="0.25">
      <c r="A73" s="415"/>
      <c r="B73" s="47" t="s">
        <v>49</v>
      </c>
      <c r="C73" s="47"/>
      <c r="D73" s="500"/>
    </row>
    <row r="74" spans="1:4" ht="15" x14ac:dyDescent="0.25">
      <c r="A74" s="415"/>
      <c r="B74" s="47"/>
      <c r="C74" s="48" t="str">
        <f>IF(D74&lt;&gt;"","▪","")</f>
        <v>▪</v>
      </c>
      <c r="D74" s="500" t="s">
        <v>50</v>
      </c>
    </row>
    <row r="75" spans="1:4" ht="15" x14ac:dyDescent="0.25">
      <c r="A75" s="415"/>
      <c r="B75" s="47"/>
      <c r="C75" s="48" t="str">
        <f>IF(D75&lt;&gt;"","▪","")</f>
        <v>▪</v>
      </c>
      <c r="D75" s="500" t="s">
        <v>51</v>
      </c>
    </row>
    <row r="76" spans="1:4" ht="15" x14ac:dyDescent="0.25">
      <c r="A76" s="415"/>
      <c r="B76" s="47"/>
      <c r="C76" s="48" t="str">
        <f>IF(D76&lt;&gt;"","▪","")</f>
        <v>▪</v>
      </c>
      <c r="D76" s="500" t="s">
        <v>52</v>
      </c>
    </row>
    <row r="77" spans="1:4" ht="15" x14ac:dyDescent="0.25">
      <c r="A77" s="415"/>
      <c r="B77" s="47"/>
      <c r="C77" s="48" t="str">
        <f>IF(D77&lt;&gt;"","▪","")</f>
        <v>▪</v>
      </c>
      <c r="D77" s="500" t="s">
        <v>53</v>
      </c>
    </row>
    <row r="78" spans="1:4" ht="15" x14ac:dyDescent="0.25">
      <c r="A78" s="415"/>
      <c r="B78" s="47" t="s">
        <v>54</v>
      </c>
      <c r="C78" s="47"/>
      <c r="D78" s="500"/>
    </row>
    <row r="79" spans="1:4" ht="15" x14ac:dyDescent="0.25">
      <c r="A79" s="415"/>
      <c r="B79" s="47"/>
      <c r="C79" s="48" t="str">
        <f>IF(D79&lt;&gt;"","▪","")</f>
        <v>▪</v>
      </c>
      <c r="D79" s="500" t="s">
        <v>50</v>
      </c>
    </row>
    <row r="80" spans="1:4" ht="15" x14ac:dyDescent="0.25">
      <c r="A80" s="415"/>
      <c r="B80" s="47"/>
      <c r="C80" s="48" t="str">
        <f>IF(D80&lt;&gt;"","▪","")</f>
        <v>▪</v>
      </c>
      <c r="D80" s="500" t="s">
        <v>55</v>
      </c>
    </row>
    <row r="81" spans="1:4" ht="15" x14ac:dyDescent="0.25">
      <c r="A81" s="415"/>
      <c r="B81" s="47"/>
      <c r="C81" s="48" t="str">
        <f>IF(D81&lt;&gt;"","▪","")</f>
        <v>▪</v>
      </c>
      <c r="D81" s="500" t="s">
        <v>52</v>
      </c>
    </row>
    <row r="82" spans="1:4" ht="15" x14ac:dyDescent="0.25">
      <c r="A82" s="415"/>
      <c r="B82" s="47"/>
      <c r="C82" s="48" t="str">
        <f>IF(D82&lt;&gt;"","▪","")</f>
        <v>▪</v>
      </c>
      <c r="D82" s="500" t="s">
        <v>53</v>
      </c>
    </row>
    <row r="83" spans="1:4" ht="15" x14ac:dyDescent="0.25">
      <c r="A83" s="415"/>
      <c r="B83" s="47" t="s">
        <v>17</v>
      </c>
      <c r="C83" s="47"/>
      <c r="D83" s="500"/>
    </row>
    <row r="84" spans="1:4" ht="20.100000000000001" customHeight="1" x14ac:dyDescent="0.25">
      <c r="A84" s="415"/>
      <c r="B84" s="47"/>
      <c r="C84" s="48" t="str">
        <f>IF(D84&lt;&gt;"","▪","")</f>
        <v>▪</v>
      </c>
      <c r="D84" s="500" t="s">
        <v>56</v>
      </c>
    </row>
    <row r="85" spans="1:4" ht="15" x14ac:dyDescent="0.25">
      <c r="A85" s="415"/>
      <c r="B85" s="47" t="s">
        <v>57</v>
      </c>
      <c r="C85" s="47"/>
      <c r="D85" s="500"/>
    </row>
    <row r="86" spans="1:4" ht="20.100000000000001" customHeight="1" x14ac:dyDescent="0.25">
      <c r="A86" s="415"/>
      <c r="B86" s="47"/>
      <c r="C86" s="48" t="str">
        <f>IF(D86&lt;&gt;"","▪","")</f>
        <v>▪</v>
      </c>
      <c r="D86" s="500" t="s">
        <v>58</v>
      </c>
    </row>
    <row r="87" spans="1:4" ht="15" x14ac:dyDescent="0.25">
      <c r="A87" s="419"/>
      <c r="B87" s="478"/>
      <c r="C87" s="478"/>
      <c r="D87" s="503"/>
    </row>
    <row r="88" spans="1:4" ht="18.75" x14ac:dyDescent="0.3">
      <c r="A88" s="610" t="s">
        <v>59</v>
      </c>
      <c r="B88" s="611"/>
      <c r="C88" s="611"/>
      <c r="D88" s="612"/>
    </row>
    <row r="89" spans="1:4" ht="15" x14ac:dyDescent="0.25">
      <c r="A89" s="4"/>
      <c r="B89" s="47" t="s">
        <v>2</v>
      </c>
      <c r="C89" s="47"/>
      <c r="D89" s="500"/>
    </row>
    <row r="90" spans="1:4" ht="15" x14ac:dyDescent="0.25">
      <c r="A90" s="4"/>
      <c r="B90" s="47"/>
      <c r="C90" s="48" t="str">
        <f>IF(D90&lt;&gt;"","▪","")</f>
        <v>▪</v>
      </c>
      <c r="D90" s="500" t="s">
        <v>60</v>
      </c>
    </row>
    <row r="91" spans="1:4" ht="15" x14ac:dyDescent="0.25">
      <c r="A91" s="4"/>
      <c r="B91" s="47" t="s">
        <v>40</v>
      </c>
      <c r="C91" s="47"/>
      <c r="D91" s="500"/>
    </row>
    <row r="92" spans="1:4" ht="15" x14ac:dyDescent="0.25">
      <c r="A92" s="4"/>
      <c r="B92" s="47"/>
      <c r="C92" s="48" t="str">
        <f>IF(D92&lt;&gt;"","▪","")</f>
        <v>▪</v>
      </c>
      <c r="D92" s="500" t="s">
        <v>61</v>
      </c>
    </row>
    <row r="93" spans="1:4" ht="38.25" x14ac:dyDescent="0.25">
      <c r="A93" s="4"/>
      <c r="B93" s="47"/>
      <c r="C93" s="48" t="str">
        <f>IF(D93&lt;&gt;"","▪","")</f>
        <v>▪</v>
      </c>
      <c r="D93" s="500" t="s">
        <v>62</v>
      </c>
    </row>
    <row r="94" spans="1:4" ht="25.5" x14ac:dyDescent="0.25">
      <c r="A94" s="4"/>
      <c r="B94" s="47"/>
      <c r="C94" s="48" t="str">
        <f>IF(D94&lt;&gt;"","▪","")</f>
        <v>▪</v>
      </c>
      <c r="D94" s="500" t="s">
        <v>63</v>
      </c>
    </row>
    <row r="95" spans="1:4" ht="15" x14ac:dyDescent="0.25">
      <c r="A95" s="4"/>
      <c r="B95" s="47" t="s">
        <v>23</v>
      </c>
      <c r="C95" s="47"/>
      <c r="D95" s="500"/>
    </row>
    <row r="96" spans="1:4" ht="15" x14ac:dyDescent="0.25">
      <c r="A96" s="4"/>
      <c r="B96" s="47"/>
      <c r="C96" s="48" t="str">
        <f>IF(D96&lt;&gt;"","▪","")</f>
        <v>▪</v>
      </c>
      <c r="D96" s="500" t="s">
        <v>64</v>
      </c>
    </row>
    <row r="97" spans="1:4" ht="15" x14ac:dyDescent="0.25">
      <c r="A97" s="4"/>
      <c r="B97" s="47" t="s">
        <v>11</v>
      </c>
      <c r="C97" s="47"/>
      <c r="D97" s="500"/>
    </row>
    <row r="98" spans="1:4" ht="15" x14ac:dyDescent="0.25">
      <c r="A98" s="4"/>
      <c r="B98" s="47"/>
      <c r="C98" s="48" t="str">
        <f>IF(D98&lt;&gt;"","▪","")</f>
        <v>▪</v>
      </c>
      <c r="D98" s="500" t="s">
        <v>65</v>
      </c>
    </row>
    <row r="99" spans="1:4" ht="15" x14ac:dyDescent="0.25">
      <c r="A99" s="415"/>
      <c r="B99" s="47" t="s">
        <v>49</v>
      </c>
      <c r="C99" s="47"/>
      <c r="D99" s="500"/>
    </row>
    <row r="100" spans="1:4" ht="25.5" x14ac:dyDescent="0.25">
      <c r="A100" s="415"/>
      <c r="B100" s="47"/>
      <c r="C100" s="48" t="str">
        <f>IF(D100&lt;&gt;"","▪","")</f>
        <v>▪</v>
      </c>
      <c r="D100" s="500" t="s">
        <v>66</v>
      </c>
    </row>
    <row r="101" spans="1:4" ht="15" x14ac:dyDescent="0.25">
      <c r="A101" s="415"/>
      <c r="B101" s="47"/>
      <c r="C101" s="48" t="str">
        <f>IF(D101&lt;&gt;"","▪","")</f>
        <v>▪</v>
      </c>
      <c r="D101" s="500" t="s">
        <v>67</v>
      </c>
    </row>
    <row r="102" spans="1:4" ht="15" x14ac:dyDescent="0.25">
      <c r="A102" s="415"/>
      <c r="B102" s="47" t="s">
        <v>20</v>
      </c>
      <c r="C102" s="47"/>
      <c r="D102" s="500"/>
    </row>
    <row r="103" spans="1:4" ht="15" x14ac:dyDescent="0.25">
      <c r="A103" s="415"/>
      <c r="B103" s="47"/>
      <c r="C103" s="48" t="str">
        <f>IF(D103&lt;&gt;"","▪","")</f>
        <v>▪</v>
      </c>
      <c r="D103" s="500" t="s">
        <v>68</v>
      </c>
    </row>
    <row r="104" spans="1:4" ht="15" x14ac:dyDescent="0.25">
      <c r="A104" s="4"/>
      <c r="B104" s="47" t="s">
        <v>54</v>
      </c>
      <c r="C104" s="47"/>
      <c r="D104" s="500"/>
    </row>
    <row r="105" spans="1:4" ht="15" x14ac:dyDescent="0.25">
      <c r="A105" s="4"/>
      <c r="B105" s="47"/>
      <c r="C105" s="48" t="str">
        <f>IF(D105&lt;&gt;"","▪","")</f>
        <v>▪</v>
      </c>
      <c r="D105" s="500" t="s">
        <v>69</v>
      </c>
    </row>
    <row r="106" spans="1:4" ht="15" x14ac:dyDescent="0.25">
      <c r="A106" s="4"/>
      <c r="B106" s="47"/>
      <c r="C106" s="48" t="str">
        <f>IF(D106&lt;&gt;"","▪","")</f>
        <v>▪</v>
      </c>
      <c r="D106" s="500" t="s">
        <v>70</v>
      </c>
    </row>
    <row r="107" spans="1:4" ht="15" x14ac:dyDescent="0.25">
      <c r="A107" s="4"/>
      <c r="B107" s="47" t="s">
        <v>71</v>
      </c>
      <c r="C107" s="47"/>
      <c r="D107" s="500"/>
    </row>
    <row r="108" spans="1:4" ht="15" x14ac:dyDescent="0.25">
      <c r="A108" s="4"/>
      <c r="B108" s="47"/>
      <c r="C108" s="48" t="str">
        <f>IF(D108&lt;&gt;"","▪","")</f>
        <v>▪</v>
      </c>
      <c r="D108" s="500" t="s">
        <v>72</v>
      </c>
    </row>
    <row r="109" spans="1:4" ht="15" x14ac:dyDescent="0.25">
      <c r="A109" s="4"/>
      <c r="B109" s="47"/>
      <c r="C109" s="48" t="str">
        <f>IF(D109&lt;&gt;"","▪","")</f>
        <v>▪</v>
      </c>
      <c r="D109" s="500" t="s">
        <v>73</v>
      </c>
    </row>
    <row r="110" spans="1:4" ht="15" x14ac:dyDescent="0.25">
      <c r="A110" s="4"/>
      <c r="B110" s="47"/>
      <c r="C110" s="48" t="str">
        <f>IF(D110&lt;&gt;"","▪","")</f>
        <v>▪</v>
      </c>
      <c r="D110" s="500" t="s">
        <v>74</v>
      </c>
    </row>
    <row r="111" spans="1:4" ht="15" x14ac:dyDescent="0.25">
      <c r="A111" s="4"/>
      <c r="B111" s="47" t="s">
        <v>17</v>
      </c>
      <c r="C111" s="47"/>
      <c r="D111" s="500"/>
    </row>
    <row r="112" spans="1:4" ht="15" x14ac:dyDescent="0.25">
      <c r="A112" s="4"/>
      <c r="B112" s="47"/>
      <c r="C112" s="48" t="str">
        <f>IF(D112&lt;&gt;"","▪","")</f>
        <v>▪</v>
      </c>
      <c r="D112" s="500" t="s">
        <v>75</v>
      </c>
    </row>
    <row r="113" spans="1:4" ht="15" x14ac:dyDescent="0.25">
      <c r="A113" s="4"/>
      <c r="B113" s="47" t="s">
        <v>76</v>
      </c>
      <c r="C113" s="47"/>
      <c r="D113" s="500"/>
    </row>
    <row r="114" spans="1:4" ht="15" x14ac:dyDescent="0.25">
      <c r="A114" s="4"/>
      <c r="B114" s="47"/>
      <c r="C114" s="48" t="str">
        <f>IF(D114&lt;&gt;"","▪","")</f>
        <v>▪</v>
      </c>
      <c r="D114" s="500" t="s">
        <v>77</v>
      </c>
    </row>
    <row r="115" spans="1:4" ht="15" x14ac:dyDescent="0.25">
      <c r="A115" s="4"/>
      <c r="B115" s="47" t="s">
        <v>78</v>
      </c>
      <c r="C115" s="47"/>
      <c r="D115" s="500"/>
    </row>
    <row r="116" spans="1:4" ht="15" x14ac:dyDescent="0.25">
      <c r="A116" s="4"/>
      <c r="B116" s="47"/>
      <c r="C116" s="48" t="str">
        <f>IF(D116&lt;&gt;"","▪","")</f>
        <v>▪</v>
      </c>
      <c r="D116" s="500" t="s">
        <v>79</v>
      </c>
    </row>
    <row r="117" spans="1:4" ht="15" x14ac:dyDescent="0.25">
      <c r="A117" s="419"/>
      <c r="B117" s="478"/>
      <c r="C117" s="478"/>
      <c r="D117" s="503"/>
    </row>
    <row r="118" spans="1:4" ht="18.75" x14ac:dyDescent="0.3">
      <c r="A118" s="610" t="s">
        <v>80</v>
      </c>
      <c r="B118" s="611"/>
      <c r="C118" s="611"/>
      <c r="D118" s="612"/>
    </row>
    <row r="119" spans="1:4" ht="15" x14ac:dyDescent="0.25">
      <c r="A119" s="4"/>
      <c r="B119" s="47" t="s">
        <v>40</v>
      </c>
      <c r="C119" s="47"/>
      <c r="D119" s="500"/>
    </row>
    <row r="120" spans="1:4" ht="25.5" x14ac:dyDescent="0.25">
      <c r="A120" s="4"/>
      <c r="B120" s="47"/>
      <c r="C120" s="48" t="str">
        <f>IF(D120&lt;&gt;"","▪","")</f>
        <v>▪</v>
      </c>
      <c r="D120" s="500" t="s">
        <v>81</v>
      </c>
    </row>
    <row r="121" spans="1:4" ht="15" x14ac:dyDescent="0.25">
      <c r="A121" s="4"/>
      <c r="B121" s="47" t="s">
        <v>11</v>
      </c>
      <c r="C121" s="47"/>
      <c r="D121" s="500"/>
    </row>
    <row r="122" spans="1:4" ht="15" x14ac:dyDescent="0.25">
      <c r="A122" s="4"/>
      <c r="B122" s="47"/>
      <c r="C122" s="48" t="str">
        <f>IF(D122&lt;&gt;"","▪","")</f>
        <v>▪</v>
      </c>
      <c r="D122" s="500" t="s">
        <v>82</v>
      </c>
    </row>
    <row r="123" spans="1:4" ht="15" x14ac:dyDescent="0.25">
      <c r="A123" s="4"/>
      <c r="B123" s="47" t="s">
        <v>23</v>
      </c>
      <c r="C123" s="47"/>
      <c r="D123" s="500"/>
    </row>
    <row r="124" spans="1:4" ht="15" x14ac:dyDescent="0.25">
      <c r="A124" s="4"/>
      <c r="B124" s="47"/>
      <c r="C124" s="48" t="str">
        <f>IF(D124&lt;&gt;"","▪","")</f>
        <v>▪</v>
      </c>
      <c r="D124" s="500" t="s">
        <v>83</v>
      </c>
    </row>
    <row r="125" spans="1:4" ht="15" x14ac:dyDescent="0.25">
      <c r="A125" s="419"/>
      <c r="B125" s="478"/>
      <c r="C125" s="478"/>
      <c r="D125" s="503"/>
    </row>
    <row r="126" spans="1:4" ht="18.75" x14ac:dyDescent="0.3">
      <c r="A126" s="610" t="s">
        <v>936</v>
      </c>
      <c r="B126" s="611"/>
      <c r="C126" s="611"/>
      <c r="D126" s="612"/>
    </row>
    <row r="127" spans="1:4" ht="15" x14ac:dyDescent="0.25">
      <c r="A127" s="4"/>
      <c r="B127" s="47" t="s">
        <v>2</v>
      </c>
      <c r="C127" s="47"/>
      <c r="D127" s="500"/>
    </row>
    <row r="128" spans="1:4" ht="15" x14ac:dyDescent="0.25">
      <c r="A128" s="4"/>
      <c r="B128" s="47"/>
      <c r="C128" s="48" t="str">
        <f>IF(D128&lt;&gt;"","▪","")</f>
        <v>▪</v>
      </c>
      <c r="D128" s="500" t="s">
        <v>937</v>
      </c>
    </row>
    <row r="129" spans="1:4" ht="15" x14ac:dyDescent="0.25">
      <c r="A129" s="419"/>
      <c r="B129" s="478"/>
      <c r="C129" s="478"/>
      <c r="D129" s="503"/>
    </row>
  </sheetData>
  <sheetProtection password="BD1F" sheet="1" objects="1" scenarios="1" autoFilter="0"/>
  <phoneticPr fontId="38" type="noConversion"/>
  <pageMargins left="0.78740157480314998" right="0.78740157480314998" top="0.78740157480314998" bottom="0.78740157480314998" header="5.7086614173228396" footer="0.59055118110236204"/>
  <pageSetup paperSize="9" firstPageNumber="0" orientation="portrait" horizontalDpi="300" verticalDpi="300" r:id="rId1"/>
  <headerFooter alignWithMargins="0">
    <oddHeader>&amp;L_</oddHeader>
    <oddFooter>&amp;LPMv3.10&amp;R&amp;P / &amp;N</oddFoot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7">
    <pageSetUpPr fitToPage="1"/>
  </sheetPr>
  <dimension ref="A1:AE37"/>
  <sheetViews>
    <sheetView showGridLines="0" zoomScaleNormal="100" zoomScaleSheetLayoutView="90" workbookViewId="0">
      <pane xSplit="7" ySplit="13" topLeftCell="H14" activePane="bottomRight" state="frozen"/>
      <selection pane="topRight" activeCell="H1" sqref="H1"/>
      <selection pane="bottomLeft" activeCell="C14" sqref="C14"/>
      <selection pane="bottomRight"/>
    </sheetView>
  </sheetViews>
  <sheetFormatPr defaultRowHeight="12.75" x14ac:dyDescent="0.2"/>
  <cols>
    <col min="1" max="1" width="15.85546875" hidden="1" customWidth="1"/>
    <col min="2" max="2" width="10.42578125" hidden="1" customWidth="1"/>
    <col min="3" max="3" width="3.5703125" customWidth="1"/>
    <col min="4" max="4" width="6.5703125" customWidth="1"/>
    <col min="5" max="5" width="18.5703125" customWidth="1"/>
    <col min="6" max="6" width="28.5703125" customWidth="1"/>
    <col min="7" max="7" width="35.5703125" customWidth="1"/>
    <col min="8" max="8" width="15.5703125" customWidth="1"/>
    <col min="9" max="9" width="12.5703125" customWidth="1"/>
    <col min="10" max="10" width="7.5703125" customWidth="1"/>
    <col min="11" max="15" width="16.5703125" customWidth="1"/>
    <col min="16" max="17" width="5.5703125" customWidth="1"/>
    <col min="18" max="18" width="35.5703125" customWidth="1"/>
    <col min="19" max="19" width="1.5703125" customWidth="1"/>
    <col min="20" max="21" width="16.5703125" customWidth="1"/>
    <col min="22" max="22" width="13.5703125" customWidth="1"/>
    <col min="23" max="24" width="16.5703125" customWidth="1"/>
    <col min="25" max="25" width="1.5703125" customWidth="1"/>
    <col min="26" max="28" width="9.140625" hidden="1" customWidth="1"/>
    <col min="29" max="29" width="3.5703125" hidden="1" customWidth="1"/>
    <col min="30" max="30" width="13.42578125" hidden="1" customWidth="1"/>
    <col min="31" max="31" width="9.140625" hidden="1" customWidth="1"/>
  </cols>
  <sheetData>
    <row r="1" spans="1:31" ht="30" customHeight="1" x14ac:dyDescent="0.2">
      <c r="F1" s="273" t="s">
        <v>810</v>
      </c>
      <c r="I1" s="8"/>
      <c r="J1" s="8"/>
      <c r="O1" s="493" t="s">
        <v>760</v>
      </c>
      <c r="P1" s="86"/>
    </row>
    <row r="2" spans="1:31" x14ac:dyDescent="0.2">
      <c r="Z2" t="s">
        <v>811</v>
      </c>
      <c r="AA2" s="89" t="s">
        <v>812</v>
      </c>
      <c r="AB2" s="77"/>
    </row>
    <row r="3" spans="1:31" x14ac:dyDescent="0.2">
      <c r="D3" s="689" t="s">
        <v>652</v>
      </c>
      <c r="E3" s="689"/>
      <c r="F3" s="88" t="s">
        <v>710</v>
      </c>
      <c r="G3" s="689" t="s">
        <v>654</v>
      </c>
      <c r="H3" s="689"/>
      <c r="I3" s="689"/>
      <c r="J3" s="767" t="s">
        <v>813</v>
      </c>
      <c r="K3" s="767"/>
      <c r="L3" s="767"/>
      <c r="M3" s="768" t="s">
        <v>814</v>
      </c>
      <c r="N3" s="768"/>
      <c r="O3" s="768"/>
      <c r="Z3" s="103">
        <f ca="1">MAX(Z7:AB7)</f>
        <v>0</v>
      </c>
      <c r="AA3" s="274">
        <f ca="1">IF(OR($O$24=ORÇAMENTO.SumINVMANUAL+QCI.SumINVMANUAL,$O$24=0),0,MIN(MAX(0,($Z$3*$O$24-ORÇAMENTO.SumCPMANUAL-QCI.SumCPMANUAL)/($O$24-ORÇAMENTO.SumINVMANUAL-QCI.SumINVMANUAL)),1))</f>
        <v>0</v>
      </c>
      <c r="AB3" s="93"/>
    </row>
    <row r="4" spans="1:31" x14ac:dyDescent="0.2">
      <c r="D4" s="693">
        <f>Import.CR</f>
        <v>0</v>
      </c>
      <c r="E4" s="693"/>
      <c r="F4" s="56">
        <f>Import.TransfereGOV</f>
        <v>0</v>
      </c>
      <c r="G4" s="693" t="str">
        <f>Import.Proponente</f>
        <v>PREFEITURA MUNICIPAL</v>
      </c>
      <c r="H4" s="693"/>
      <c r="I4" s="693"/>
      <c r="J4" s="769" t="str">
        <f>Import.Município</f>
        <v>CAÇAPAVA DO SUL/RS</v>
      </c>
      <c r="K4" s="769"/>
      <c r="L4" s="769"/>
      <c r="M4" s="768"/>
      <c r="N4" s="768"/>
      <c r="O4" s="768"/>
      <c r="R4" s="130"/>
      <c r="Z4" s="93"/>
      <c r="AA4" s="93"/>
      <c r="AB4" s="93"/>
    </row>
    <row r="5" spans="1:31" ht="5.0999999999999996" customHeight="1" x14ac:dyDescent="0.2">
      <c r="M5" s="266"/>
      <c r="O5" s="4"/>
    </row>
    <row r="6" spans="1:31" x14ac:dyDescent="0.2">
      <c r="D6" s="689" t="s">
        <v>711</v>
      </c>
      <c r="E6" s="689"/>
      <c r="F6" s="689"/>
      <c r="G6" s="689"/>
      <c r="H6" s="689"/>
      <c r="I6" s="689"/>
      <c r="J6" s="689"/>
      <c r="K6" s="689"/>
      <c r="L6" s="275" t="s">
        <v>718</v>
      </c>
      <c r="M6" s="88" t="str">
        <f>IF(import.recurso="FGTS","FINANCIAMENTO","REPASSE")</f>
        <v>REPASSE</v>
      </c>
      <c r="N6" s="88" t="s">
        <v>815</v>
      </c>
      <c r="O6" s="88" t="s">
        <v>816</v>
      </c>
      <c r="Z6" t="s">
        <v>817</v>
      </c>
      <c r="AA6" t="s">
        <v>818</v>
      </c>
      <c r="AB6" t="s">
        <v>819</v>
      </c>
    </row>
    <row r="7" spans="1:31" ht="12.75" customHeight="1" x14ac:dyDescent="0.2">
      <c r="C7" s="682" t="s">
        <v>657</v>
      </c>
      <c r="D7" s="693" t="str">
        <f>Import.Apelido</f>
        <v>COBERTURA DE QUADRA</v>
      </c>
      <c r="E7" s="693"/>
      <c r="F7" s="693"/>
      <c r="G7" s="693"/>
      <c r="H7" s="693"/>
      <c r="I7" s="693"/>
      <c r="J7" s="693"/>
      <c r="K7" s="693"/>
      <c r="L7" s="276" t="str">
        <f>import.recurso</f>
        <v>(SELECIONAR)</v>
      </c>
      <c r="M7" s="277">
        <f>Import.Repasse</f>
        <v>0</v>
      </c>
      <c r="N7" s="277">
        <f>Import.Contrapartida</f>
        <v>0</v>
      </c>
      <c r="O7" s="277">
        <f>M7+N7</f>
        <v>0</v>
      </c>
      <c r="Z7" s="103">
        <f>ROUND(Import.CPMinPerc,4)</f>
        <v>0</v>
      </c>
      <c r="AA7" s="103">
        <f ca="1">IF($O$24=0,0,Import.CPMinAbsoluta/$O$24)</f>
        <v>0</v>
      </c>
      <c r="AB7" s="103">
        <f ca="1">IF($O$24=0,0,($O$24-$AB$24-Import.Repasse)/($O$24))</f>
        <v>0</v>
      </c>
    </row>
    <row r="8" spans="1:31" x14ac:dyDescent="0.2">
      <c r="C8" s="682"/>
      <c r="D8" s="93"/>
      <c r="E8" s="93"/>
      <c r="F8" s="278"/>
      <c r="G8" s="93"/>
      <c r="H8" s="93"/>
      <c r="I8" s="93"/>
      <c r="J8" s="93"/>
      <c r="K8" s="93"/>
      <c r="L8" s="93"/>
      <c r="M8" s="93"/>
      <c r="N8" s="93"/>
      <c r="O8" s="93"/>
    </row>
    <row r="9" spans="1:31" ht="12.75" customHeight="1" x14ac:dyDescent="0.2">
      <c r="C9" s="682"/>
      <c r="G9" s="766" t="str">
        <f ca="1">IF($T$11&lt;&gt;"","PREENCHIMENTO INCOMPLETO DA TABELA AUXILIAR DO QCI",
  IF($G$11&lt;&gt;"","PREENCHIMENTO INCOMPLETO DA TABELA PRINCIPAL DO QCI",
  IF(AND($O$24&gt;0,$M$25&gt;Import.CPMaxPerc,Import.CPMaxPerc&gt;0),"ERRO: CONTRAPARTIDA MAIOR QUE A MÁXIMA",
  IF(OR(AND($O$24&gt;0,$M$25&lt;QCI!$Z$7),$M$24&lt;ROUND(Import.CPMinAbsoluta,2)),"ERRO: CONTRAPARTIDA MENOR QUE A MÍNIMA",
  IF(OR($L$10&lt;0,$M$10&lt;0),"ERRO: SALDO NEGATIVO",
  IF(COUNTIF($L$13:$L$24,"&lt;0")&gt;0,"ERRO: VALORES DE REPASSE NEGATIVOS",
  IF(OFFSET($A$24,-1,0)&lt;OFFSET(ORÇAMENTO!$E$27,-1,0),"ERRO: NÚMERO DE LINHAS DO QCI INSUFICIENTE. CLIQUE NO BOTÃO ADICIONAR LINHAS",
  "")))))))</f>
        <v/>
      </c>
      <c r="H9" s="766"/>
      <c r="I9" s="513"/>
      <c r="J9" s="512"/>
      <c r="K9" s="765" t="s">
        <v>820</v>
      </c>
      <c r="L9" s="279" t="str">
        <f>$L$13</f>
        <v>Repasse (R$)</v>
      </c>
      <c r="M9" s="279" t="s">
        <v>744</v>
      </c>
      <c r="AD9" s="763"/>
      <c r="AE9" s="763"/>
    </row>
    <row r="10" spans="1:31" ht="12.75" customHeight="1" x14ac:dyDescent="0.2">
      <c r="A10" s="762" t="s">
        <v>821</v>
      </c>
      <c r="C10" s="682"/>
      <c r="G10" s="766"/>
      <c r="H10" s="766"/>
      <c r="I10" s="513"/>
      <c r="J10" s="512"/>
      <c r="K10" s="765"/>
      <c r="L10" s="280">
        <f ca="1">Import.Repasse-L24</f>
        <v>0</v>
      </c>
      <c r="M10" s="281">
        <f ca="1">Import.Contrapartida-M24</f>
        <v>0</v>
      </c>
      <c r="Z10" s="703" t="s">
        <v>724</v>
      </c>
      <c r="AA10" s="703"/>
      <c r="AB10" s="703"/>
      <c r="AD10" s="763" t="s">
        <v>822</v>
      </c>
      <c r="AE10" s="763"/>
    </row>
    <row r="11" spans="1:31" ht="20.100000000000001" customHeight="1" x14ac:dyDescent="0.25">
      <c r="A11" s="762"/>
      <c r="C11" s="682"/>
      <c r="G11" s="589" t="str">
        <f ca="1">IF(COUNTIF($P$13:$P$24,"ITEM")&gt;0,"Falta definir o ITEM de Investimento da Meta "&amp;INDEX($D$13:$D$24,MATCH("ITEM",$P$13:$P$24,0)),
  IF(COUNTIF($P$13:$P$24,"SUBITEM")&gt;0,"Falta definir o SUBITEM de Investimento da Meta "&amp;INDEX($D$13:$D$24,MATCH("SUBITEM",$P$13:$P$24,0)),
  IF(COUNTIF($P$13:$P$24,"SITUAÇÃO")&gt;0,"Falta definir a SITUAÇÃO do Investimento da Meta "&amp;INDEX($D$13:$D$24,MATCH("SITUAÇÃO",$P$13:$P$24,0)),
  IF(COUNTIF($P$13:$P$24,"QUANT.")&gt;0,"Falta preencher a QUANTIDADE da Meta "&amp;INDEX($D$13:$D$24,MATCH("QUANT.",$P$13:$P$24,0)),
  ""))))</f>
        <v/>
      </c>
      <c r="T11" s="522" t="str">
        <f>IF(COUNTIF($S$13:$S$24,"► LOTE")&gt;0,"Falta preencher o LOTE/CTEF da Meta "&amp;INDEX($D$13:$D$24,MATCH("► LOTE",$S$13:$S$24,0)),
  IF(COUNTIF($S$13:$S$24,"► INVEST")&gt;0,"Falta preencher o valor do INVESTIMENTO da Meta "&amp;INDEX($D$13:$D$24,MATCH("► INVEST",$S$13:$S$24,0)),
  IF(COUNTIF($S$13:$S$24,"► DIV")&gt;0,"Falta definir a DIVISÃO do Investimento da Meta "&amp;INDEX($D$13:$D$24,MATCH("► DIV",$S$13:$S$24,0)),
  IF(COUNTIF($S$13:$S$24,"► CP")&gt;0,"Falta preencher o valor da CONTRAPARTIDA da Meta "&amp;INDEX($D$13:$D$24,MATCH("► CP",$S$13:$S$24,0)),
  IF(COUNTIF($S$13:$S$24,"► OU")&gt;0,"Falta preencher o valor de OUTROS recursos da Meta "&amp;INDEX($D$13:$D$24,MATCH("► OU",$S$13:$S$24,0)),
  "")))))</f>
        <v/>
      </c>
      <c r="Z11" s="111" t="s">
        <v>823</v>
      </c>
      <c r="AA11" s="111" t="s">
        <v>744</v>
      </c>
      <c r="AB11" s="112" t="s">
        <v>745</v>
      </c>
    </row>
    <row r="12" spans="1:31" hidden="1" x14ac:dyDescent="0.2">
      <c r="A12">
        <f ca="1">IF(NOT(ISBLANK(QCI.DescManual)),OFFSET(A12,-1,0),D12)</f>
        <v>-1</v>
      </c>
      <c r="B12" t="str">
        <f ca="1">IF(NOT(ISBLANK(QCI.DescManual)),IF(QCI.Divisao="Calculado","Manual","SemiAuto"),IF(ISERROR(MATCH($A12,ORÇAMENTO!$E$15:$E$27,0)),"Branco","Automático"))</f>
        <v>Branco</v>
      </c>
      <c r="C12" t="str">
        <f ca="1">IF(O12&gt;0,"F","")</f>
        <v/>
      </c>
      <c r="D12" s="282">
        <f>ROW()-ROW($D$13)</f>
        <v>-1</v>
      </c>
      <c r="E12" s="119"/>
      <c r="F12" s="119"/>
      <c r="G12" s="164" t="str">
        <f ca="1">IF(OR($B12="Manual",$B12="SemiAuto"),QCI.DescManual,IF($B12="Automático",INDEX(ORÇAMENTO!$R$15:$R$27,MATCH($A12,ORÇAMENTO!$E$15:$E$27,0)),""))</f>
        <v/>
      </c>
      <c r="H12" s="119"/>
      <c r="I12" s="465"/>
      <c r="J12" s="283" t="str">
        <f ca="1">IF(AND(ISBLANK(E12),ISBLANK(F12)),"",VLOOKUP($F12,OFFSET(DADOS!$A$2,1,MATCH(QCI!$E12,DADOS!$2:$2,0)-1,100,50),2,FALSE))</f>
        <v/>
      </c>
      <c r="K12" s="464" t="str">
        <f ca="1">IF(OR($B12="Manual",$B12="SemiAuto"),QCI.LoteManual,IF($B12="Automático",IF(TIPOORCAMENTO="Licitado",Import.CTEF,"LOTE 1"),""))</f>
        <v/>
      </c>
      <c r="L12" s="284">
        <f ca="1">ROUND($O12,2)-ROUND($M12,2)-ROUND($N12,2)</f>
        <v>0</v>
      </c>
      <c r="M12" s="285">
        <f ca="1">ROUND($AA12,2)-ROUND($AE12,2)</f>
        <v>0</v>
      </c>
      <c r="N12" s="286">
        <f ca="1">ROUND($AB12,2)</f>
        <v>0</v>
      </c>
      <c r="O12" s="287">
        <f ca="1">IF($B12="Branco",0,IF(OR($B12="Manual",$B12="SemiAuto"),QCI.InvManual,INDEX(ORÇAMENTO!X$15:X$27,MATCH($A12,ORÇAMENTO!$E$15:$E$27,0))))</f>
        <v>0</v>
      </c>
      <c r="P12" s="584" t="str">
        <f ca="1">IF(O12=0,"",
  IF(E12="","ITEM",
  IF(F12="","SUBITEM",
  IF(H12="","SITUAÇÃO",
  IF(I12=0,"QUANT.","")))))</f>
        <v/>
      </c>
      <c r="R12" s="466"/>
      <c r="S12" s="585" t="str">
        <f>IF(R12="","",
  IF(T12=0,"► LOTE",
  IF(U12=0,"► INVEST",
  IF(V12=0,"► DIV",
  IF(AND(V12="Calculado",W12=""),"► CP",
  IF(AND(V12="Calculado",X12=""),"► OU",""))))))</f>
        <v/>
      </c>
      <c r="T12" s="467"/>
      <c r="U12" s="586"/>
      <c r="V12" s="468" t="s">
        <v>824</v>
      </c>
      <c r="W12" s="587"/>
      <c r="X12" s="588"/>
      <c r="Z12">
        <f ca="1">$O12-$AA12-$AB12</f>
        <v>0</v>
      </c>
      <c r="AA12">
        <f ca="1">IF($B12="Branco",0,IF($B12="Manual",QCI.CPManual,IF($B12="SemiAuto",ROUND(QCI!$AA$3*QCI.InvManual,2),INDEX(ORÇAMENTO!$AA$15:$AA$27,MATCH($A12,ORÇAMENTO!$E$15:$E$27,0)))))</f>
        <v>0</v>
      </c>
      <c r="AB12">
        <f ca="1">IF($B12="Branco",0,IF($B12="Manual",QCI.OutrosManual,IF($B12="SemiAuto",0,INDEX(ORÇAMENTO!$AB$15:$AB$27,MATCH($A12,ORÇAMENTO!$E$15:$E$27,0)))))</f>
        <v>0</v>
      </c>
      <c r="AD12" s="290" t="b">
        <f ca="1">AND($AA$3&gt;0,$AA$3&lt;1,$O12&gt;0,OR($B12="Automático",$B12="SemiAuto"),OR(QCI!$Z$3=QCI!$Z$7,QCI!$Z$3=QCI!$AA$7,QCI!$Z$3=QCI!$AB$7))</f>
        <v>0</v>
      </c>
      <c r="AE12" s="290">
        <f ca="1">IF(AND($AD12,$O12&gt;0,COUNTIF(OFFSET($AD12,1,0):$AD$24,TRUE)=0),CHOOSE(1+LOG(1+2*(QCI!$Z$3=QCI!$Z$7)+4*(QCI!$Z$3=QCI!$AA$7)+8*(QCI!$Z$3=QCI!$AB$7),2),0,$AA$24-ROUND(Import.CPMinPerc*$O$24,2),$AA$24-Import.CPMinAbsoluta,Import.Repasse-$Z$24),0)</f>
        <v>0</v>
      </c>
    </row>
    <row r="13" spans="1:31" ht="25.5" customHeight="1" x14ac:dyDescent="0.2">
      <c r="A13" s="86">
        <v>0</v>
      </c>
      <c r="B13" s="291" t="s">
        <v>825</v>
      </c>
      <c r="C13" s="107" t="s">
        <v>662</v>
      </c>
      <c r="D13" s="108" t="s">
        <v>704</v>
      </c>
      <c r="E13" s="108" t="s">
        <v>826</v>
      </c>
      <c r="F13" s="108" t="s">
        <v>827</v>
      </c>
      <c r="G13" s="108" t="s">
        <v>828</v>
      </c>
      <c r="H13" s="108" t="s">
        <v>671</v>
      </c>
      <c r="I13" s="108" t="s">
        <v>715</v>
      </c>
      <c r="J13" s="108" t="s">
        <v>829</v>
      </c>
      <c r="K13" s="108" t="s">
        <v>830</v>
      </c>
      <c r="L13" s="654" t="str">
        <f>IF(import.recurso="FGTS","Financiamento (R$)","Repasse (R$)")</f>
        <v>Repasse (R$)</v>
      </c>
      <c r="M13" s="655" t="s">
        <v>831</v>
      </c>
      <c r="N13" s="292" t="s">
        <v>745</v>
      </c>
      <c r="O13" s="108" t="s">
        <v>832</v>
      </c>
      <c r="R13" s="293" t="s">
        <v>828</v>
      </c>
      <c r="T13" s="293" t="s">
        <v>830</v>
      </c>
      <c r="U13" s="160" t="s">
        <v>832</v>
      </c>
      <c r="V13" s="294" t="s">
        <v>833</v>
      </c>
      <c r="W13" s="159" t="s">
        <v>831</v>
      </c>
      <c r="X13" s="161" t="s">
        <v>745</v>
      </c>
    </row>
    <row r="14" spans="1:31" ht="25.5" x14ac:dyDescent="0.2">
      <c r="A14">
        <f t="shared" ref="A14:A23" ca="1" si="0">IF(NOT(ISBLANK(QCI.DescManual)),OFFSET(A14,-1,0),D14)</f>
        <v>1</v>
      </c>
      <c r="B14" t="str">
        <f ca="1">IF(NOT(ISBLANK(QCI.DescManual)),IF(QCI.Divisao="Calculado","Manual","SemiAuto"),IF(ISERROR(MATCH($A14,ORÇAMENTO!$E$15:$E$27,0)),"Branco","Automático"))</f>
        <v>Automático</v>
      </c>
      <c r="C14" t="str">
        <f t="shared" ref="C14:C22" ca="1" si="1">IF(O14&gt;0,"F","")</f>
        <v/>
      </c>
      <c r="D14" s="282">
        <f t="shared" ref="D14:D22" si="2">ROW()-ROW($D$13)</f>
        <v>1</v>
      </c>
      <c r="E14" s="119"/>
      <c r="F14" s="119"/>
      <c r="G14" s="164" t="str">
        <f ca="1">IF(OR($B14="Manual",$B14="SemiAuto"),QCI.DescManual,IF($B14="Automático",INDEX(ORÇAMENTO!$R$15:$R$27,MATCH($A14,ORÇAMENTO!$E$15:$E$27,0)),""))</f>
        <v>COBERTURA DE QUADRA - EMEI IRACEMA CIDADE</v>
      </c>
      <c r="H14" s="119"/>
      <c r="I14" s="465"/>
      <c r="J14" s="283" t="str">
        <f ca="1">IF(AND(ISBLANK(E14),ISBLANK(F14)),"",VLOOKUP($F14,OFFSET(DADOS!$A$2,1,MATCH(QCI!$E14,DADOS!$2:$2,0)-1,100,50),2,FALSE))</f>
        <v/>
      </c>
      <c r="K14" s="464" t="str">
        <f ca="1">IF(OR($B14="Manual",$B14="SemiAuto"),QCI.LoteManual,IF($B14="Automático",IF(TIPOORCAMENTO="Licitado",Import.CTEF,"LOTE 1"),""))</f>
        <v>LOTE 1</v>
      </c>
      <c r="L14" s="284">
        <f t="shared" ref="L14:L22" ca="1" si="3">ROUND($O14,2)-ROUND($M14,2)-ROUND($N14,2)</f>
        <v>0</v>
      </c>
      <c r="M14" s="285">
        <f t="shared" ref="M14:M22" ca="1" si="4">ROUND($AA14,2)-ROUND($AE14,2)</f>
        <v>0</v>
      </c>
      <c r="N14" s="286">
        <f t="shared" ref="N14:N22" ca="1" si="5">ROUND($AB14,2)</f>
        <v>0</v>
      </c>
      <c r="O14" s="287">
        <f ca="1">IF($B14="Branco",0,IF(OR($B14="Manual",$B14="SemiAuto"),QCI.InvManual,INDEX(ORÇAMENTO!X$15:X$27,MATCH($A14,ORÇAMENTO!$E$15:$E$27,0))))</f>
        <v>0</v>
      </c>
      <c r="P14" s="584" t="str">
        <f t="shared" ref="P14:P22" ca="1" si="6">IF(O14=0,"",
  IF(E14="","ITEM",
  IF(F14="","SUBITEM",
  IF(H14="","SITUAÇÃO",
  IF(I14=0,"QUANT.","")))))</f>
        <v/>
      </c>
      <c r="R14" s="466"/>
      <c r="S14" s="585" t="str">
        <f t="shared" ref="S14:S22" si="7">IF(R14="","",
  IF(T14=0,"► LOTE",
  IF(U14=0,"► INVEST",
  IF(V14=0,"► DIV",
  IF(AND(V14="Calculado",W14=""),"► CP",
  IF(AND(V14="Calculado",X14=""),"► OU",""))))))</f>
        <v/>
      </c>
      <c r="T14" s="467"/>
      <c r="U14" s="586"/>
      <c r="V14" s="468" t="s">
        <v>824</v>
      </c>
      <c r="W14" s="587"/>
      <c r="X14" s="588"/>
      <c r="Z14">
        <f t="shared" ref="Z14:Z22" ca="1" si="8">$O14-$AA14-$AB14</f>
        <v>0</v>
      </c>
      <c r="AA14">
        <f ca="1">IF($B14="Branco",0,IF($B14="Manual",QCI.CPManual,IF($B14="SemiAuto",ROUND(QCI!$AA$3*QCI.InvManual,2),INDEX(ORÇAMENTO!$AA$15:$AA$27,MATCH($A14,ORÇAMENTO!$E$15:$E$27,0)))))</f>
        <v>0</v>
      </c>
      <c r="AB14">
        <f ca="1">IF($B14="Branco",0,IF($B14="Manual",QCI.OutrosManual,IF($B14="SemiAuto",0,INDEX(ORÇAMENTO!$AB$15:$AB$27,MATCH($A14,ORÇAMENTO!$E$15:$E$27,0)))))</f>
        <v>0</v>
      </c>
      <c r="AD14" s="290" t="b">
        <f ca="1">AND($AA$3&gt;0,$AA$3&lt;1,$O14&gt;0,OR($B14="Automático",$B14="SemiAuto"),OR(QCI!$Z$3=QCI!$Z$7,QCI!$Z$3=QCI!$AA$7,QCI!$Z$3=QCI!$AB$7))</f>
        <v>0</v>
      </c>
      <c r="AE14" s="290">
        <f ca="1">IF(AND($AD14,$O14&gt;0,COUNTIF(OFFSET($AD14,1,0):$AD$24,TRUE)=0),CHOOSE(1+LOG(1+2*(QCI!$Z$3=QCI!$Z$7)+4*(QCI!$Z$3=QCI!$AA$7)+8*(QCI!$Z$3=QCI!$AB$7),2),0,$AA$24-ROUND(Import.CPMinPerc*$O$24,2),$AA$24-Import.CPMinAbsoluta,Import.Repasse-$Z$24),0)</f>
        <v>0</v>
      </c>
    </row>
    <row r="15" spans="1:31" x14ac:dyDescent="0.2">
      <c r="A15">
        <f t="shared" ca="1" si="0"/>
        <v>2</v>
      </c>
      <c r="B15" t="str">
        <f ca="1">IF(NOT(ISBLANK(QCI.DescManual)),IF(QCI.Divisao="Calculado","Manual","SemiAuto"),IF(ISERROR(MATCH($A15,ORÇAMENTO!$E$15:$E$27,0)),"Branco","Automático"))</f>
        <v>Branco</v>
      </c>
      <c r="C15" t="str">
        <f t="shared" ca="1" si="1"/>
        <v/>
      </c>
      <c r="D15" s="282">
        <f t="shared" si="2"/>
        <v>2</v>
      </c>
      <c r="E15" s="119"/>
      <c r="F15" s="119"/>
      <c r="G15" s="164" t="str">
        <f ca="1">IF(OR($B15="Manual",$B15="SemiAuto"),QCI.DescManual,IF($B15="Automático",INDEX(ORÇAMENTO!$R$15:$R$27,MATCH($A15,ORÇAMENTO!$E$15:$E$27,0)),""))</f>
        <v/>
      </c>
      <c r="H15" s="119"/>
      <c r="I15" s="465"/>
      <c r="J15" s="283" t="str">
        <f ca="1">IF(AND(ISBLANK(E15),ISBLANK(F15)),"",VLOOKUP($F15,OFFSET(DADOS!$A$2,1,MATCH(QCI!$E15,DADOS!$2:$2,0)-1,100,50),2,FALSE))</f>
        <v/>
      </c>
      <c r="K15" s="464" t="str">
        <f ca="1">IF(OR($B15="Manual",$B15="SemiAuto"),QCI.LoteManual,IF($B15="Automático",IF(TIPOORCAMENTO="Licitado",Import.CTEF,"LOTE 1"),""))</f>
        <v/>
      </c>
      <c r="L15" s="284">
        <f t="shared" ca="1" si="3"/>
        <v>0</v>
      </c>
      <c r="M15" s="285">
        <f t="shared" ca="1" si="4"/>
        <v>0</v>
      </c>
      <c r="N15" s="286">
        <f t="shared" ca="1" si="5"/>
        <v>0</v>
      </c>
      <c r="O15" s="287">
        <f ca="1">IF($B15="Branco",0,IF(OR($B15="Manual",$B15="SemiAuto"),QCI.InvManual,INDEX(ORÇAMENTO!X$15:X$27,MATCH($A15,ORÇAMENTO!$E$15:$E$27,0))))</f>
        <v>0</v>
      </c>
      <c r="P15" s="584" t="str">
        <f t="shared" ca="1" si="6"/>
        <v/>
      </c>
      <c r="R15" s="466"/>
      <c r="S15" s="585" t="str">
        <f t="shared" si="7"/>
        <v/>
      </c>
      <c r="T15" s="467"/>
      <c r="U15" s="586"/>
      <c r="V15" s="468" t="s">
        <v>824</v>
      </c>
      <c r="W15" s="587"/>
      <c r="X15" s="588"/>
      <c r="Z15">
        <f t="shared" ca="1" si="8"/>
        <v>0</v>
      </c>
      <c r="AA15">
        <f ca="1">IF($B15="Branco",0,IF($B15="Manual",QCI.CPManual,IF($B15="SemiAuto",ROUND(QCI!$AA$3*QCI.InvManual,2),INDEX(ORÇAMENTO!$AA$15:$AA$27,MATCH($A15,ORÇAMENTO!$E$15:$E$27,0)))))</f>
        <v>0</v>
      </c>
      <c r="AB15">
        <f ca="1">IF($B15="Branco",0,IF($B15="Manual",QCI.OutrosManual,IF($B15="SemiAuto",0,INDEX(ORÇAMENTO!$AB$15:$AB$27,MATCH($A15,ORÇAMENTO!$E$15:$E$27,0)))))</f>
        <v>0</v>
      </c>
      <c r="AD15" s="290" t="b">
        <f ca="1">AND($AA$3&gt;0,$AA$3&lt;1,$O15&gt;0,OR($B15="Automático",$B15="SemiAuto"),OR(QCI!$Z$3=QCI!$Z$7,QCI!$Z$3=QCI!$AA$7,QCI!$Z$3=QCI!$AB$7))</f>
        <v>0</v>
      </c>
      <c r="AE15" s="290">
        <f ca="1">IF(AND($AD15,$O15&gt;0,COUNTIF(OFFSET($AD15,1,0):$AD$24,TRUE)=0),CHOOSE(1+LOG(1+2*(QCI!$Z$3=QCI!$Z$7)+4*(QCI!$Z$3=QCI!$AA$7)+8*(QCI!$Z$3=QCI!$AB$7),2),0,$AA$24-ROUND(Import.CPMinPerc*$O$24,2),$AA$24-Import.CPMinAbsoluta,Import.Repasse-$Z$24),0)</f>
        <v>0</v>
      </c>
    </row>
    <row r="16" spans="1:31" x14ac:dyDescent="0.2">
      <c r="A16">
        <f t="shared" ca="1" si="0"/>
        <v>3</v>
      </c>
      <c r="B16" t="str">
        <f ca="1">IF(NOT(ISBLANK(QCI.DescManual)),IF(QCI.Divisao="Calculado","Manual","SemiAuto"),IF(ISERROR(MATCH($A16,ORÇAMENTO!$E$15:$E$27,0)),"Branco","Automático"))</f>
        <v>Branco</v>
      </c>
      <c r="C16" t="str">
        <f t="shared" ca="1" si="1"/>
        <v/>
      </c>
      <c r="D16" s="282">
        <f t="shared" si="2"/>
        <v>3</v>
      </c>
      <c r="E16" s="119"/>
      <c r="F16" s="119"/>
      <c r="G16" s="164" t="str">
        <f ca="1">IF(OR($B16="Manual",$B16="SemiAuto"),QCI.DescManual,IF($B16="Automático",INDEX(ORÇAMENTO!$R$15:$R$27,MATCH($A16,ORÇAMENTO!$E$15:$E$27,0)),""))</f>
        <v/>
      </c>
      <c r="H16" s="119"/>
      <c r="I16" s="465"/>
      <c r="J16" s="283" t="str">
        <f ca="1">IF(AND(ISBLANK(E16),ISBLANK(F16)),"",VLOOKUP($F16,OFFSET(DADOS!$A$2,1,MATCH(QCI!$E16,DADOS!$2:$2,0)-1,100,50),2,FALSE))</f>
        <v/>
      </c>
      <c r="K16" s="464" t="str">
        <f ca="1">IF(OR($B16="Manual",$B16="SemiAuto"),QCI.LoteManual,IF($B16="Automático",IF(TIPOORCAMENTO="Licitado",Import.CTEF,"LOTE 1"),""))</f>
        <v/>
      </c>
      <c r="L16" s="284">
        <f t="shared" ca="1" si="3"/>
        <v>0</v>
      </c>
      <c r="M16" s="285">
        <f t="shared" ca="1" si="4"/>
        <v>0</v>
      </c>
      <c r="N16" s="286">
        <f t="shared" ca="1" si="5"/>
        <v>0</v>
      </c>
      <c r="O16" s="287">
        <f ca="1">IF($B16="Branco",0,IF(OR($B16="Manual",$B16="SemiAuto"),QCI.InvManual,INDEX(ORÇAMENTO!X$15:X$27,MATCH($A16,ORÇAMENTO!$E$15:$E$27,0))))</f>
        <v>0</v>
      </c>
      <c r="P16" s="584" t="str">
        <f t="shared" ca="1" si="6"/>
        <v/>
      </c>
      <c r="R16" s="466"/>
      <c r="S16" s="585" t="str">
        <f t="shared" si="7"/>
        <v/>
      </c>
      <c r="T16" s="467"/>
      <c r="U16" s="586"/>
      <c r="V16" s="468" t="s">
        <v>824</v>
      </c>
      <c r="W16" s="587"/>
      <c r="X16" s="588"/>
      <c r="Z16">
        <f t="shared" ca="1" si="8"/>
        <v>0</v>
      </c>
      <c r="AA16">
        <f ca="1">IF($B16="Branco",0,IF($B16="Manual",QCI.CPManual,IF($B16="SemiAuto",ROUND(QCI!$AA$3*QCI.InvManual,2),INDEX(ORÇAMENTO!$AA$15:$AA$27,MATCH($A16,ORÇAMENTO!$E$15:$E$27,0)))))</f>
        <v>0</v>
      </c>
      <c r="AB16">
        <f ca="1">IF($B16="Branco",0,IF($B16="Manual",QCI.OutrosManual,IF($B16="SemiAuto",0,INDEX(ORÇAMENTO!$AB$15:$AB$27,MATCH($A16,ORÇAMENTO!$E$15:$E$27,0)))))</f>
        <v>0</v>
      </c>
      <c r="AD16" s="290" t="b">
        <f ca="1">AND($AA$3&gt;0,$AA$3&lt;1,$O16&gt;0,OR($B16="Automático",$B16="SemiAuto"),OR(QCI!$Z$3=QCI!$Z$7,QCI!$Z$3=QCI!$AA$7,QCI!$Z$3=QCI!$AB$7))</f>
        <v>0</v>
      </c>
      <c r="AE16" s="290">
        <f ca="1">IF(AND($AD16,$O16&gt;0,COUNTIF(OFFSET($AD16,1,0):$AD$24,TRUE)=0),CHOOSE(1+LOG(1+2*(QCI!$Z$3=QCI!$Z$7)+4*(QCI!$Z$3=QCI!$AA$7)+8*(QCI!$Z$3=QCI!$AB$7),2),0,$AA$24-ROUND(Import.CPMinPerc*$O$24,2),$AA$24-Import.CPMinAbsoluta,Import.Repasse-$Z$24),0)</f>
        <v>0</v>
      </c>
    </row>
    <row r="17" spans="1:31" x14ac:dyDescent="0.2">
      <c r="A17">
        <f t="shared" ca="1" si="0"/>
        <v>4</v>
      </c>
      <c r="B17" t="str">
        <f ca="1">IF(NOT(ISBLANK(QCI.DescManual)),IF(QCI.Divisao="Calculado","Manual","SemiAuto"),IF(ISERROR(MATCH($A17,ORÇAMENTO!$E$15:$E$27,0)),"Branco","Automático"))</f>
        <v>Branco</v>
      </c>
      <c r="C17" t="str">
        <f t="shared" ca="1" si="1"/>
        <v/>
      </c>
      <c r="D17" s="282">
        <f t="shared" si="2"/>
        <v>4</v>
      </c>
      <c r="E17" s="119"/>
      <c r="F17" s="119"/>
      <c r="G17" s="164" t="str">
        <f ca="1">IF(OR($B17="Manual",$B17="SemiAuto"),QCI.DescManual,IF($B17="Automático",INDEX(ORÇAMENTO!$R$15:$R$27,MATCH($A17,ORÇAMENTO!$E$15:$E$27,0)),""))</f>
        <v/>
      </c>
      <c r="H17" s="119"/>
      <c r="I17" s="465"/>
      <c r="J17" s="283" t="str">
        <f ca="1">IF(AND(ISBLANK(E17),ISBLANK(F17)),"",VLOOKUP($F17,OFFSET(DADOS!$A$2,1,MATCH(QCI!$E17,DADOS!$2:$2,0)-1,100,50),2,FALSE))</f>
        <v/>
      </c>
      <c r="K17" s="464" t="str">
        <f ca="1">IF(OR($B17="Manual",$B17="SemiAuto"),QCI.LoteManual,IF($B17="Automático",IF(TIPOORCAMENTO="Licitado",Import.CTEF,"LOTE 1"),""))</f>
        <v/>
      </c>
      <c r="L17" s="284">
        <f t="shared" ca="1" si="3"/>
        <v>0</v>
      </c>
      <c r="M17" s="285">
        <f t="shared" ca="1" si="4"/>
        <v>0</v>
      </c>
      <c r="N17" s="286">
        <f t="shared" ca="1" si="5"/>
        <v>0</v>
      </c>
      <c r="O17" s="287">
        <f ca="1">IF($B17="Branco",0,IF(OR($B17="Manual",$B17="SemiAuto"),QCI.InvManual,INDEX(ORÇAMENTO!X$15:X$27,MATCH($A17,ORÇAMENTO!$E$15:$E$27,0))))</f>
        <v>0</v>
      </c>
      <c r="P17" s="584" t="str">
        <f t="shared" ca="1" si="6"/>
        <v/>
      </c>
      <c r="R17" s="466"/>
      <c r="S17" s="585" t="str">
        <f t="shared" si="7"/>
        <v/>
      </c>
      <c r="T17" s="467"/>
      <c r="U17" s="586"/>
      <c r="V17" s="468" t="s">
        <v>824</v>
      </c>
      <c r="W17" s="587"/>
      <c r="X17" s="588"/>
      <c r="Z17">
        <f t="shared" ca="1" si="8"/>
        <v>0</v>
      </c>
      <c r="AA17">
        <f ca="1">IF($B17="Branco",0,IF($B17="Manual",QCI.CPManual,IF($B17="SemiAuto",ROUND(QCI!$AA$3*QCI.InvManual,2),INDEX(ORÇAMENTO!$AA$15:$AA$27,MATCH($A17,ORÇAMENTO!$E$15:$E$27,0)))))</f>
        <v>0</v>
      </c>
      <c r="AB17">
        <f ca="1">IF($B17="Branco",0,IF($B17="Manual",QCI.OutrosManual,IF($B17="SemiAuto",0,INDEX(ORÇAMENTO!$AB$15:$AB$27,MATCH($A17,ORÇAMENTO!$E$15:$E$27,0)))))</f>
        <v>0</v>
      </c>
      <c r="AD17" s="290" t="b">
        <f ca="1">AND($AA$3&gt;0,$AA$3&lt;1,$O17&gt;0,OR($B17="Automático",$B17="SemiAuto"),OR(QCI!$Z$3=QCI!$Z$7,QCI!$Z$3=QCI!$AA$7,QCI!$Z$3=QCI!$AB$7))</f>
        <v>0</v>
      </c>
      <c r="AE17" s="290">
        <f ca="1">IF(AND($AD17,$O17&gt;0,COUNTIF(OFFSET($AD17,1,0):$AD$24,TRUE)=0),CHOOSE(1+LOG(1+2*(QCI!$Z$3=QCI!$Z$7)+4*(QCI!$Z$3=QCI!$AA$7)+8*(QCI!$Z$3=QCI!$AB$7),2),0,$AA$24-ROUND(Import.CPMinPerc*$O$24,2),$AA$24-Import.CPMinAbsoluta,Import.Repasse-$Z$24),0)</f>
        <v>0</v>
      </c>
    </row>
    <row r="18" spans="1:31" x14ac:dyDescent="0.2">
      <c r="A18">
        <f t="shared" ca="1" si="0"/>
        <v>5</v>
      </c>
      <c r="B18" t="str">
        <f ca="1">IF(NOT(ISBLANK(QCI.DescManual)),IF(QCI.Divisao="Calculado","Manual","SemiAuto"),IF(ISERROR(MATCH($A18,ORÇAMENTO!$E$15:$E$27,0)),"Branco","Automático"))</f>
        <v>Branco</v>
      </c>
      <c r="C18" t="str">
        <f t="shared" ca="1" si="1"/>
        <v/>
      </c>
      <c r="D18" s="282">
        <f t="shared" si="2"/>
        <v>5</v>
      </c>
      <c r="E18" s="119"/>
      <c r="F18" s="119"/>
      <c r="G18" s="164" t="str">
        <f ca="1">IF(OR($B18="Manual",$B18="SemiAuto"),QCI.DescManual,IF($B18="Automático",INDEX(ORÇAMENTO!$R$15:$R$27,MATCH($A18,ORÇAMENTO!$E$15:$E$27,0)),""))</f>
        <v/>
      </c>
      <c r="H18" s="119"/>
      <c r="I18" s="465"/>
      <c r="J18" s="283" t="str">
        <f ca="1">IF(AND(ISBLANK(E18),ISBLANK(F18)),"",VLOOKUP($F18,OFFSET(DADOS!$A$2,1,MATCH(QCI!$E18,DADOS!$2:$2,0)-1,100,50),2,FALSE))</f>
        <v/>
      </c>
      <c r="K18" s="464" t="str">
        <f ca="1">IF(OR($B18="Manual",$B18="SemiAuto"),QCI.LoteManual,IF($B18="Automático",IF(TIPOORCAMENTO="Licitado",Import.CTEF,"LOTE 1"),""))</f>
        <v/>
      </c>
      <c r="L18" s="284">
        <f t="shared" ca="1" si="3"/>
        <v>0</v>
      </c>
      <c r="M18" s="285">
        <f t="shared" ca="1" si="4"/>
        <v>0</v>
      </c>
      <c r="N18" s="286">
        <f t="shared" ca="1" si="5"/>
        <v>0</v>
      </c>
      <c r="O18" s="287">
        <f ca="1">IF($B18="Branco",0,IF(OR($B18="Manual",$B18="SemiAuto"),QCI.InvManual,INDEX(ORÇAMENTO!X$15:X$27,MATCH($A18,ORÇAMENTO!$E$15:$E$27,0))))</f>
        <v>0</v>
      </c>
      <c r="P18" s="584" t="str">
        <f t="shared" ca="1" si="6"/>
        <v/>
      </c>
      <c r="R18" s="466"/>
      <c r="S18" s="585" t="str">
        <f t="shared" si="7"/>
        <v/>
      </c>
      <c r="T18" s="467"/>
      <c r="U18" s="586"/>
      <c r="V18" s="468" t="s">
        <v>824</v>
      </c>
      <c r="W18" s="587"/>
      <c r="X18" s="588"/>
      <c r="Z18">
        <f t="shared" ca="1" si="8"/>
        <v>0</v>
      </c>
      <c r="AA18">
        <f ca="1">IF($B18="Branco",0,IF($B18="Manual",QCI.CPManual,IF($B18="SemiAuto",ROUND(QCI!$AA$3*QCI.InvManual,2),INDEX(ORÇAMENTO!$AA$15:$AA$27,MATCH($A18,ORÇAMENTO!$E$15:$E$27,0)))))</f>
        <v>0</v>
      </c>
      <c r="AB18">
        <f ca="1">IF($B18="Branco",0,IF($B18="Manual",QCI.OutrosManual,IF($B18="SemiAuto",0,INDEX(ORÇAMENTO!$AB$15:$AB$27,MATCH($A18,ORÇAMENTO!$E$15:$E$27,0)))))</f>
        <v>0</v>
      </c>
      <c r="AD18" s="290" t="b">
        <f ca="1">AND($AA$3&gt;0,$AA$3&lt;1,$O18&gt;0,OR($B18="Automático",$B18="SemiAuto"),OR(QCI!$Z$3=QCI!$Z$7,QCI!$Z$3=QCI!$AA$7,QCI!$Z$3=QCI!$AB$7))</f>
        <v>0</v>
      </c>
      <c r="AE18" s="290">
        <f ca="1">IF(AND($AD18,$O18&gt;0,COUNTIF(OFFSET($AD18,1,0):$AD$24,TRUE)=0),CHOOSE(1+LOG(1+2*(QCI!$Z$3=QCI!$Z$7)+4*(QCI!$Z$3=QCI!$AA$7)+8*(QCI!$Z$3=QCI!$AB$7),2),0,$AA$24-ROUND(Import.CPMinPerc*$O$24,2),$AA$24-Import.CPMinAbsoluta,Import.Repasse-$Z$24),0)</f>
        <v>0</v>
      </c>
    </row>
    <row r="19" spans="1:31" x14ac:dyDescent="0.2">
      <c r="A19">
        <f t="shared" ca="1" si="0"/>
        <v>6</v>
      </c>
      <c r="B19" t="str">
        <f ca="1">IF(NOT(ISBLANK(QCI.DescManual)),IF(QCI.Divisao="Calculado","Manual","SemiAuto"),IF(ISERROR(MATCH($A19,ORÇAMENTO!$E$15:$E$27,0)),"Branco","Automático"))</f>
        <v>Branco</v>
      </c>
      <c r="C19" t="str">
        <f t="shared" ca="1" si="1"/>
        <v/>
      </c>
      <c r="D19" s="282">
        <f t="shared" si="2"/>
        <v>6</v>
      </c>
      <c r="E19" s="119"/>
      <c r="F19" s="119"/>
      <c r="G19" s="164" t="str">
        <f ca="1">IF(OR($B19="Manual",$B19="SemiAuto"),QCI.DescManual,IF($B19="Automático",INDEX(ORÇAMENTO!$R$15:$R$27,MATCH($A19,ORÇAMENTO!$E$15:$E$27,0)),""))</f>
        <v/>
      </c>
      <c r="H19" s="119"/>
      <c r="I19" s="465"/>
      <c r="J19" s="283" t="str">
        <f ca="1">IF(AND(ISBLANK(E19),ISBLANK(F19)),"",VLOOKUP($F19,OFFSET(DADOS!$A$2,1,MATCH(QCI!$E19,DADOS!$2:$2,0)-1,100,50),2,FALSE))</f>
        <v/>
      </c>
      <c r="K19" s="464" t="str">
        <f ca="1">IF(OR($B19="Manual",$B19="SemiAuto"),QCI.LoteManual,IF($B19="Automático",IF(TIPOORCAMENTO="Licitado",Import.CTEF,"LOTE 1"),""))</f>
        <v/>
      </c>
      <c r="L19" s="284">
        <f t="shared" ca="1" si="3"/>
        <v>0</v>
      </c>
      <c r="M19" s="285">
        <f t="shared" ca="1" si="4"/>
        <v>0</v>
      </c>
      <c r="N19" s="286">
        <f t="shared" ca="1" si="5"/>
        <v>0</v>
      </c>
      <c r="O19" s="287">
        <f ca="1">IF($B19="Branco",0,IF(OR($B19="Manual",$B19="SemiAuto"),QCI.InvManual,INDEX(ORÇAMENTO!X$15:X$27,MATCH($A19,ORÇAMENTO!$E$15:$E$27,0))))</f>
        <v>0</v>
      </c>
      <c r="P19" s="584" t="str">
        <f t="shared" ca="1" si="6"/>
        <v/>
      </c>
      <c r="R19" s="466"/>
      <c r="S19" s="585" t="str">
        <f t="shared" si="7"/>
        <v/>
      </c>
      <c r="T19" s="467"/>
      <c r="U19" s="586"/>
      <c r="V19" s="468" t="s">
        <v>824</v>
      </c>
      <c r="W19" s="587"/>
      <c r="X19" s="588"/>
      <c r="Z19">
        <f t="shared" ca="1" si="8"/>
        <v>0</v>
      </c>
      <c r="AA19">
        <f ca="1">IF($B19="Branco",0,IF($B19="Manual",QCI.CPManual,IF($B19="SemiAuto",ROUND(QCI!$AA$3*QCI.InvManual,2),INDEX(ORÇAMENTO!$AA$15:$AA$27,MATCH($A19,ORÇAMENTO!$E$15:$E$27,0)))))</f>
        <v>0</v>
      </c>
      <c r="AB19">
        <f ca="1">IF($B19="Branco",0,IF($B19="Manual",QCI.OutrosManual,IF($B19="SemiAuto",0,INDEX(ORÇAMENTO!$AB$15:$AB$27,MATCH($A19,ORÇAMENTO!$E$15:$E$27,0)))))</f>
        <v>0</v>
      </c>
      <c r="AD19" s="290" t="b">
        <f ca="1">AND($AA$3&gt;0,$AA$3&lt;1,$O19&gt;0,OR($B19="Automático",$B19="SemiAuto"),OR(QCI!$Z$3=QCI!$Z$7,QCI!$Z$3=QCI!$AA$7,QCI!$Z$3=QCI!$AB$7))</f>
        <v>0</v>
      </c>
      <c r="AE19" s="290">
        <f ca="1">IF(AND($AD19,$O19&gt;0,COUNTIF(OFFSET($AD19,1,0):$AD$24,TRUE)=0),CHOOSE(1+LOG(1+2*(QCI!$Z$3=QCI!$Z$7)+4*(QCI!$Z$3=QCI!$AA$7)+8*(QCI!$Z$3=QCI!$AB$7),2),0,$AA$24-ROUND(Import.CPMinPerc*$O$24,2),$AA$24-Import.CPMinAbsoluta,Import.Repasse-$Z$24),0)</f>
        <v>0</v>
      </c>
    </row>
    <row r="20" spans="1:31" x14ac:dyDescent="0.2">
      <c r="A20">
        <f t="shared" ca="1" si="0"/>
        <v>7</v>
      </c>
      <c r="B20" t="str">
        <f ca="1">IF(NOT(ISBLANK(QCI.DescManual)),IF(QCI.Divisao="Calculado","Manual","SemiAuto"),IF(ISERROR(MATCH($A20,ORÇAMENTO!$E$15:$E$27,0)),"Branco","Automático"))</f>
        <v>Branco</v>
      </c>
      <c r="C20" t="str">
        <f t="shared" ca="1" si="1"/>
        <v/>
      </c>
      <c r="D20" s="282">
        <f t="shared" si="2"/>
        <v>7</v>
      </c>
      <c r="E20" s="119"/>
      <c r="F20" s="119"/>
      <c r="G20" s="164" t="str">
        <f ca="1">IF(OR($B20="Manual",$B20="SemiAuto"),QCI.DescManual,IF($B20="Automático",INDEX(ORÇAMENTO!$R$15:$R$27,MATCH($A20,ORÇAMENTO!$E$15:$E$27,0)),""))</f>
        <v/>
      </c>
      <c r="H20" s="119"/>
      <c r="I20" s="465"/>
      <c r="J20" s="283" t="str">
        <f ca="1">IF(AND(ISBLANK(E20),ISBLANK(F20)),"",VLOOKUP($F20,OFFSET(DADOS!$A$2,1,MATCH(QCI!$E20,DADOS!$2:$2,0)-1,100,50),2,FALSE))</f>
        <v/>
      </c>
      <c r="K20" s="464" t="str">
        <f ca="1">IF(OR($B20="Manual",$B20="SemiAuto"),QCI.LoteManual,IF($B20="Automático",IF(TIPOORCAMENTO="Licitado",Import.CTEF,"LOTE 1"),""))</f>
        <v/>
      </c>
      <c r="L20" s="284">
        <f t="shared" ca="1" si="3"/>
        <v>0</v>
      </c>
      <c r="M20" s="285">
        <f t="shared" ca="1" si="4"/>
        <v>0</v>
      </c>
      <c r="N20" s="286">
        <f t="shared" ca="1" si="5"/>
        <v>0</v>
      </c>
      <c r="O20" s="287">
        <f ca="1">IF($B20="Branco",0,IF(OR($B20="Manual",$B20="SemiAuto"),QCI.InvManual,INDEX(ORÇAMENTO!X$15:X$27,MATCH($A20,ORÇAMENTO!$E$15:$E$27,0))))</f>
        <v>0</v>
      </c>
      <c r="P20" s="584" t="str">
        <f t="shared" ca="1" si="6"/>
        <v/>
      </c>
      <c r="R20" s="466"/>
      <c r="S20" s="585" t="str">
        <f t="shared" si="7"/>
        <v/>
      </c>
      <c r="T20" s="467"/>
      <c r="U20" s="586"/>
      <c r="V20" s="468" t="s">
        <v>824</v>
      </c>
      <c r="W20" s="587"/>
      <c r="X20" s="588"/>
      <c r="Z20">
        <f t="shared" ca="1" si="8"/>
        <v>0</v>
      </c>
      <c r="AA20">
        <f ca="1">IF($B20="Branco",0,IF($B20="Manual",QCI.CPManual,IF($B20="SemiAuto",ROUND(QCI!$AA$3*QCI.InvManual,2),INDEX(ORÇAMENTO!$AA$15:$AA$27,MATCH($A20,ORÇAMENTO!$E$15:$E$27,0)))))</f>
        <v>0</v>
      </c>
      <c r="AB20">
        <f ca="1">IF($B20="Branco",0,IF($B20="Manual",QCI.OutrosManual,IF($B20="SemiAuto",0,INDEX(ORÇAMENTO!$AB$15:$AB$27,MATCH($A20,ORÇAMENTO!$E$15:$E$27,0)))))</f>
        <v>0</v>
      </c>
      <c r="AD20" s="290" t="b">
        <f ca="1">AND($AA$3&gt;0,$AA$3&lt;1,$O20&gt;0,OR($B20="Automático",$B20="SemiAuto"),OR(QCI!$Z$3=QCI!$Z$7,QCI!$Z$3=QCI!$AA$7,QCI!$Z$3=QCI!$AB$7))</f>
        <v>0</v>
      </c>
      <c r="AE20" s="290">
        <f ca="1">IF(AND($AD20,$O20&gt;0,COUNTIF(OFFSET($AD20,1,0):$AD$24,TRUE)=0),CHOOSE(1+LOG(1+2*(QCI!$Z$3=QCI!$Z$7)+4*(QCI!$Z$3=QCI!$AA$7)+8*(QCI!$Z$3=QCI!$AB$7),2),0,$AA$24-ROUND(Import.CPMinPerc*$O$24,2),$AA$24-Import.CPMinAbsoluta,Import.Repasse-$Z$24),0)</f>
        <v>0</v>
      </c>
    </row>
    <row r="21" spans="1:31" x14ac:dyDescent="0.2">
      <c r="A21">
        <f t="shared" ca="1" si="0"/>
        <v>8</v>
      </c>
      <c r="B21" t="str">
        <f ca="1">IF(NOT(ISBLANK(QCI.DescManual)),IF(QCI.Divisao="Calculado","Manual","SemiAuto"),IF(ISERROR(MATCH($A21,ORÇAMENTO!$E$15:$E$27,0)),"Branco","Automático"))</f>
        <v>Branco</v>
      </c>
      <c r="C21" t="str">
        <f t="shared" ca="1" si="1"/>
        <v/>
      </c>
      <c r="D21" s="282">
        <f t="shared" si="2"/>
        <v>8</v>
      </c>
      <c r="E21" s="119"/>
      <c r="F21" s="119"/>
      <c r="G21" s="164" t="str">
        <f ca="1">IF(OR($B21="Manual",$B21="SemiAuto"),QCI.DescManual,IF($B21="Automático",INDEX(ORÇAMENTO!$R$15:$R$27,MATCH($A21,ORÇAMENTO!$E$15:$E$27,0)),""))</f>
        <v/>
      </c>
      <c r="H21" s="119"/>
      <c r="I21" s="465"/>
      <c r="J21" s="283" t="str">
        <f ca="1">IF(AND(ISBLANK(E21),ISBLANK(F21)),"",VLOOKUP($F21,OFFSET(DADOS!$A$2,1,MATCH(QCI!$E21,DADOS!$2:$2,0)-1,100,50),2,FALSE))</f>
        <v/>
      </c>
      <c r="K21" s="464" t="str">
        <f ca="1">IF(OR($B21="Manual",$B21="SemiAuto"),QCI.LoteManual,IF($B21="Automático",IF(TIPOORCAMENTO="Licitado",Import.CTEF,"LOTE 1"),""))</f>
        <v/>
      </c>
      <c r="L21" s="284">
        <f t="shared" ca="1" si="3"/>
        <v>0</v>
      </c>
      <c r="M21" s="285">
        <f t="shared" ca="1" si="4"/>
        <v>0</v>
      </c>
      <c r="N21" s="286">
        <f t="shared" ca="1" si="5"/>
        <v>0</v>
      </c>
      <c r="O21" s="287">
        <f ca="1">IF($B21="Branco",0,IF(OR($B21="Manual",$B21="SemiAuto"),QCI.InvManual,INDEX(ORÇAMENTO!X$15:X$27,MATCH($A21,ORÇAMENTO!$E$15:$E$27,0))))</f>
        <v>0</v>
      </c>
      <c r="P21" s="584" t="str">
        <f t="shared" ca="1" si="6"/>
        <v/>
      </c>
      <c r="R21" s="466"/>
      <c r="S21" s="585" t="str">
        <f t="shared" si="7"/>
        <v/>
      </c>
      <c r="T21" s="467"/>
      <c r="U21" s="586"/>
      <c r="V21" s="468" t="s">
        <v>824</v>
      </c>
      <c r="W21" s="587"/>
      <c r="X21" s="588"/>
      <c r="Z21">
        <f t="shared" ca="1" si="8"/>
        <v>0</v>
      </c>
      <c r="AA21">
        <f ca="1">IF($B21="Branco",0,IF($B21="Manual",QCI.CPManual,IF($B21="SemiAuto",ROUND(QCI!$AA$3*QCI.InvManual,2),INDEX(ORÇAMENTO!$AA$15:$AA$27,MATCH($A21,ORÇAMENTO!$E$15:$E$27,0)))))</f>
        <v>0</v>
      </c>
      <c r="AB21">
        <f ca="1">IF($B21="Branco",0,IF($B21="Manual",QCI.OutrosManual,IF($B21="SemiAuto",0,INDEX(ORÇAMENTO!$AB$15:$AB$27,MATCH($A21,ORÇAMENTO!$E$15:$E$27,0)))))</f>
        <v>0</v>
      </c>
      <c r="AD21" s="290" t="b">
        <f ca="1">AND($AA$3&gt;0,$AA$3&lt;1,$O21&gt;0,OR($B21="Automático",$B21="SemiAuto"),OR(QCI!$Z$3=QCI!$Z$7,QCI!$Z$3=QCI!$AA$7,QCI!$Z$3=QCI!$AB$7))</f>
        <v>0</v>
      </c>
      <c r="AE21" s="290">
        <f ca="1">IF(AND($AD21,$O21&gt;0,COUNTIF(OFFSET($AD21,1,0):$AD$24,TRUE)=0),CHOOSE(1+LOG(1+2*(QCI!$Z$3=QCI!$Z$7)+4*(QCI!$Z$3=QCI!$AA$7)+8*(QCI!$Z$3=QCI!$AB$7),2),0,$AA$24-ROUND(Import.CPMinPerc*$O$24,2),$AA$24-Import.CPMinAbsoluta,Import.Repasse-$Z$24),0)</f>
        <v>0</v>
      </c>
    </row>
    <row r="22" spans="1:31" x14ac:dyDescent="0.2">
      <c r="A22">
        <f t="shared" ca="1" si="0"/>
        <v>9</v>
      </c>
      <c r="B22" t="str">
        <f ca="1">IF(NOT(ISBLANK(QCI.DescManual)),IF(QCI.Divisao="Calculado","Manual","SemiAuto"),IF(ISERROR(MATCH($A22,ORÇAMENTO!$E$15:$E$27,0)),"Branco","Automático"))</f>
        <v>Branco</v>
      </c>
      <c r="C22" t="str">
        <f t="shared" ca="1" si="1"/>
        <v/>
      </c>
      <c r="D22" s="282">
        <f t="shared" si="2"/>
        <v>9</v>
      </c>
      <c r="E22" s="119"/>
      <c r="F22" s="119"/>
      <c r="G22" s="164" t="str">
        <f ca="1">IF(OR($B22="Manual",$B22="SemiAuto"),QCI.DescManual,IF($B22="Automático",INDEX(ORÇAMENTO!$R$15:$R$27,MATCH($A22,ORÇAMENTO!$E$15:$E$27,0)),""))</f>
        <v/>
      </c>
      <c r="H22" s="119"/>
      <c r="I22" s="465"/>
      <c r="J22" s="283" t="str">
        <f ca="1">IF(AND(ISBLANK(E22),ISBLANK(F22)),"",VLOOKUP($F22,OFFSET(DADOS!$A$2,1,MATCH(QCI!$E22,DADOS!$2:$2,0)-1,100,50),2,FALSE))</f>
        <v/>
      </c>
      <c r="K22" s="464" t="str">
        <f ca="1">IF(OR($B22="Manual",$B22="SemiAuto"),QCI.LoteManual,IF($B22="Automático",IF(TIPOORCAMENTO="Licitado",Import.CTEF,"LOTE 1"),""))</f>
        <v/>
      </c>
      <c r="L22" s="284">
        <f t="shared" ca="1" si="3"/>
        <v>0</v>
      </c>
      <c r="M22" s="285">
        <f t="shared" ca="1" si="4"/>
        <v>0</v>
      </c>
      <c r="N22" s="286">
        <f t="shared" ca="1" si="5"/>
        <v>0</v>
      </c>
      <c r="O22" s="287">
        <f ca="1">IF($B22="Branco",0,IF(OR($B22="Manual",$B22="SemiAuto"),QCI.InvManual,INDEX(ORÇAMENTO!X$15:X$27,MATCH($A22,ORÇAMENTO!$E$15:$E$27,0))))</f>
        <v>0</v>
      </c>
      <c r="P22" s="584" t="str">
        <f t="shared" ca="1" si="6"/>
        <v/>
      </c>
      <c r="R22" s="466"/>
      <c r="S22" s="585" t="str">
        <f t="shared" si="7"/>
        <v/>
      </c>
      <c r="T22" s="467"/>
      <c r="U22" s="586"/>
      <c r="V22" s="468" t="s">
        <v>824</v>
      </c>
      <c r="W22" s="587"/>
      <c r="X22" s="588"/>
      <c r="Z22">
        <f t="shared" ca="1" si="8"/>
        <v>0</v>
      </c>
      <c r="AA22">
        <f ca="1">IF($B22="Branco",0,IF($B22="Manual",QCI.CPManual,IF($B22="SemiAuto",ROUND(QCI!$AA$3*QCI.InvManual,2),INDEX(ORÇAMENTO!$AA$15:$AA$27,MATCH($A22,ORÇAMENTO!$E$15:$E$27,0)))))</f>
        <v>0</v>
      </c>
      <c r="AB22">
        <f ca="1">IF($B22="Branco",0,IF($B22="Manual",QCI.OutrosManual,IF($B22="SemiAuto",0,INDEX(ORÇAMENTO!$AB$15:$AB$27,MATCH($A22,ORÇAMENTO!$E$15:$E$27,0)))))</f>
        <v>0</v>
      </c>
      <c r="AD22" s="290" t="b">
        <f ca="1">AND($AA$3&gt;0,$AA$3&lt;1,$O22&gt;0,OR($B22="Automático",$B22="SemiAuto"),OR(QCI!$Z$3=QCI!$Z$7,QCI!$Z$3=QCI!$AA$7,QCI!$Z$3=QCI!$AB$7))</f>
        <v>0</v>
      </c>
      <c r="AE22" s="290">
        <f ca="1">IF(AND($AD22,$O22&gt;0,COUNTIF(OFFSET($AD22,1,0):$AD$24,TRUE)=0),CHOOSE(1+LOG(1+2*(QCI!$Z$3=QCI!$Z$7)+4*(QCI!$Z$3=QCI!$AA$7)+8*(QCI!$Z$3=QCI!$AB$7),2),0,$AA$24-ROUND(Import.CPMinPerc*$O$24,2),$AA$24-Import.CPMinAbsoluta,Import.Repasse-$Z$24),0)</f>
        <v>0</v>
      </c>
    </row>
    <row r="23" spans="1:31" x14ac:dyDescent="0.2">
      <c r="A23">
        <f t="shared" ca="1" si="0"/>
        <v>10</v>
      </c>
      <c r="B23" t="str">
        <f ca="1">IF(NOT(ISBLANK(QCI.DescManual)),IF(QCI.Divisao="Calculado","Manual","SemiAuto"),IF(ISERROR(MATCH($A23,ORÇAMENTO!$E$15:$E$27,0)),"Branco","Automático"))</f>
        <v>Branco</v>
      </c>
      <c r="C23" t="str">
        <f ca="1">IF(O23&gt;0,"F","")</f>
        <v/>
      </c>
      <c r="D23" s="282">
        <f>ROW()-ROW($D$13)</f>
        <v>10</v>
      </c>
      <c r="E23" s="119"/>
      <c r="F23" s="119"/>
      <c r="G23" s="164" t="str">
        <f ca="1">IF(OR($B23="Manual",$B23="SemiAuto"),QCI.DescManual,IF($B23="Automático",INDEX(ORÇAMENTO!$R$15:$R$27,MATCH($A23,ORÇAMENTO!$E$15:$E$27,0)),""))</f>
        <v/>
      </c>
      <c r="H23" s="119"/>
      <c r="I23" s="465"/>
      <c r="J23" s="283" t="str">
        <f ca="1">IF(AND(ISBLANK(E23),ISBLANK(F23)),"",VLOOKUP($F23,OFFSET(DADOS!$A$2,1,MATCH(QCI!$E23,DADOS!$2:$2,0)-1,100,50),2,FALSE))</f>
        <v/>
      </c>
      <c r="K23" s="464" t="str">
        <f ca="1">IF(OR($B23="Manual",$B23="SemiAuto"),QCI.LoteManual,IF($B23="Automático",IF(TIPOORCAMENTO="Licitado",Import.CTEF,"LOTE 1"),""))</f>
        <v/>
      </c>
      <c r="L23" s="284">
        <f ca="1">ROUND($O23,2)-ROUND($M23,2)-ROUND($N23,2)</f>
        <v>0</v>
      </c>
      <c r="M23" s="285">
        <f ca="1">ROUND($AA23,2)-ROUND($AE23,2)</f>
        <v>0</v>
      </c>
      <c r="N23" s="286">
        <f ca="1">ROUND($AB23,2)</f>
        <v>0</v>
      </c>
      <c r="O23" s="287">
        <f ca="1">IF($B23="Branco",0,IF(OR($B23="Manual",$B23="SemiAuto"),QCI.InvManual,INDEX(ORÇAMENTO!X$15:X$27,MATCH($A23,ORÇAMENTO!$E$15:$E$27,0))))</f>
        <v>0</v>
      </c>
      <c r="P23" s="584" t="str">
        <f ca="1">IF(O23=0,"",
  IF(E23="","ITEM",
  IF(F23="","SUBITEM",
  IF(H23="","SITUAÇÃO",
  IF(I23=0,"QUANT.","")))))</f>
        <v/>
      </c>
      <c r="R23" s="466"/>
      <c r="S23" s="585" t="str">
        <f>IF(R23="","",
  IF(T23=0,"► LOTE",
  IF(U23=0,"► INVEST",
  IF(V23=0,"► DIV",
  IF(AND(V23="Calculado",W23=""),"► CP",
  IF(AND(V23="Calculado",X23=""),"► OU",""))))))</f>
        <v/>
      </c>
      <c r="T23" s="467"/>
      <c r="U23" s="586"/>
      <c r="V23" s="468" t="s">
        <v>824</v>
      </c>
      <c r="W23" s="587"/>
      <c r="X23" s="588"/>
      <c r="Z23">
        <f ca="1">$O23-$AA23-$AB23</f>
        <v>0</v>
      </c>
      <c r="AA23">
        <f ca="1">IF($B23="Branco",0,IF($B23="Manual",QCI.CPManual,IF($B23="SemiAuto",ROUND(QCI!$AA$3*QCI.InvManual,2),INDEX(ORÇAMENTO!$AA$15:$AA$27,MATCH($A23,ORÇAMENTO!$E$15:$E$27,0)))))</f>
        <v>0</v>
      </c>
      <c r="AB23">
        <f ca="1">IF($B23="Branco",0,IF($B23="Manual",QCI.OutrosManual,IF($B23="SemiAuto",0,INDEX(ORÇAMENTO!$AB$15:$AB$27,MATCH($A23,ORÇAMENTO!$E$15:$E$27,0)))))</f>
        <v>0</v>
      </c>
      <c r="AD23" s="290" t="b">
        <f ca="1">AND($AA$3&gt;0,$AA$3&lt;1,$O23&gt;0,OR($B23="Automático",$B23="SemiAuto"),OR(QCI!$Z$3=QCI!$Z$7,QCI!$Z$3=QCI!$AA$7,QCI!$Z$3=QCI!$AB$7))</f>
        <v>0</v>
      </c>
      <c r="AE23" s="290">
        <f ca="1">IF(AND($AD23,$O23&gt;0,COUNTIF(OFFSET($AD23,1,0):$AD$24,TRUE)=0),CHOOSE(1+LOG(1+2*(QCI!$Z$3=QCI!$Z$7)+4*(QCI!$Z$3=QCI!$AA$7)+8*(QCI!$Z$3=QCI!$AB$7),2),0,$AA$24-ROUND(Import.CPMinPerc*$O$24,2),$AA$24-Import.CPMinAbsoluta,Import.Repasse-$Z$24),0)</f>
        <v>0</v>
      </c>
    </row>
    <row r="24" spans="1:31" ht="15" x14ac:dyDescent="0.2">
      <c r="B24" t="s">
        <v>834</v>
      </c>
      <c r="C24" t="s">
        <v>538</v>
      </c>
      <c r="D24" s="295"/>
      <c r="E24" s="296"/>
      <c r="F24" s="296"/>
      <c r="G24" s="296"/>
      <c r="H24" s="296"/>
      <c r="I24" s="296"/>
      <c r="J24" s="296"/>
      <c r="K24" s="764" t="s">
        <v>835</v>
      </c>
      <c r="L24" s="297">
        <f ca="1">SUM(L13:OFFSET(L24,-1,0))</f>
        <v>0</v>
      </c>
      <c r="M24" s="298">
        <f ca="1">SUM(M13:OFFSET(M24,-1,0))</f>
        <v>0</v>
      </c>
      <c r="N24" s="299">
        <f ca="1">SUM(N13:OFFSET(N24,-1,0))</f>
        <v>0</v>
      </c>
      <c r="O24" s="300">
        <f ca="1">SUM(O13:OFFSET(O24,-1,0))</f>
        <v>0</v>
      </c>
      <c r="R24" s="301"/>
      <c r="T24" s="302"/>
      <c r="U24" s="303"/>
      <c r="V24" s="304"/>
      <c r="W24" s="305"/>
      <c r="X24" s="306"/>
      <c r="Z24" s="89">
        <f ca="1">SUMPRODUCT(ROUND(Z13:OFFSET(Z24,-1,0),2))</f>
        <v>0</v>
      </c>
      <c r="AA24" s="89">
        <f ca="1">SUMPRODUCT(ROUND(AA13:OFFSET(AA24,-1,0),2))</f>
        <v>0</v>
      </c>
      <c r="AB24" s="89">
        <f ca="1">SUM(AB13:OFFSET(AB24,-1,0))</f>
        <v>0</v>
      </c>
    </row>
    <row r="25" spans="1:31" x14ac:dyDescent="0.2">
      <c r="B25" t="s">
        <v>836</v>
      </c>
      <c r="C25" t="s">
        <v>538</v>
      </c>
      <c r="D25" s="307"/>
      <c r="E25" s="308"/>
      <c r="F25" s="308"/>
      <c r="G25" s="308"/>
      <c r="H25" s="308"/>
      <c r="I25" s="308"/>
      <c r="J25" s="308"/>
      <c r="K25" s="764"/>
      <c r="L25" s="309">
        <f ca="1">IF(ISERROR(L24/$O24),0,ROUND(L24/$O24,4))</f>
        <v>0</v>
      </c>
      <c r="M25" s="310">
        <f ca="1">IF(ISERROR(M24/$O24),0,ROUND(M24/$O24,4))</f>
        <v>0</v>
      </c>
      <c r="N25" s="311">
        <f ca="1">IF(ISERROR(N24/$O24),0,ROUND(N24/$O24,4))</f>
        <v>0</v>
      </c>
      <c r="O25" s="312">
        <f ca="1">IF(ISERROR(O24/$O24),0,ROUND(O24/$O24,4))</f>
        <v>0</v>
      </c>
      <c r="R25" s="313"/>
      <c r="T25" s="314"/>
      <c r="U25" s="315"/>
      <c r="V25" s="316"/>
      <c r="W25" s="317"/>
      <c r="X25" s="318"/>
    </row>
    <row r="27" spans="1:31" ht="14.25" x14ac:dyDescent="0.2">
      <c r="D27" s="136" t="s">
        <v>692</v>
      </c>
    </row>
    <row r="28" spans="1:31" ht="12.75" customHeight="1" x14ac:dyDescent="0.2">
      <c r="D28" s="711"/>
      <c r="E28" s="711"/>
      <c r="F28" s="711"/>
      <c r="G28" s="711"/>
      <c r="H28" s="711"/>
      <c r="I28" s="711"/>
      <c r="J28" s="711"/>
      <c r="K28" s="711"/>
      <c r="L28" s="711"/>
      <c r="M28" s="711"/>
      <c r="N28" s="711"/>
      <c r="O28" s="711"/>
    </row>
    <row r="29" spans="1:31" ht="12.75" customHeight="1" x14ac:dyDescent="0.2">
      <c r="D29" s="711"/>
      <c r="E29" s="711"/>
      <c r="F29" s="711"/>
      <c r="G29" s="711"/>
      <c r="H29" s="711"/>
      <c r="I29" s="711"/>
      <c r="J29" s="711"/>
      <c r="K29" s="711"/>
      <c r="L29" s="711"/>
      <c r="M29" s="711"/>
      <c r="N29" s="711"/>
      <c r="O29" s="711"/>
    </row>
    <row r="30" spans="1:31" ht="12.75" customHeight="1" x14ac:dyDescent="0.2">
      <c r="D30" s="711"/>
      <c r="E30" s="711"/>
      <c r="F30" s="711"/>
      <c r="G30" s="711"/>
      <c r="H30" s="711"/>
      <c r="I30" s="711"/>
      <c r="J30" s="711"/>
      <c r="K30" s="711"/>
      <c r="L30" s="711"/>
      <c r="M30" s="711"/>
      <c r="N30" s="711"/>
      <c r="O30" s="711"/>
    </row>
    <row r="33" spans="4:12" ht="15" x14ac:dyDescent="0.2">
      <c r="D33" s="713" t="str">
        <f>Import.Município</f>
        <v>CAÇAPAVA DO SUL/RS</v>
      </c>
      <c r="E33" s="713"/>
      <c r="F33" s="713"/>
      <c r="I33" s="140"/>
      <c r="J33" s="140"/>
      <c r="K33" s="181"/>
      <c r="L33" s="181"/>
    </row>
    <row r="34" spans="4:12" x14ac:dyDescent="0.2">
      <c r="D34" s="9" t="s">
        <v>696</v>
      </c>
      <c r="I34" s="182" t="s">
        <v>837</v>
      </c>
      <c r="J34" s="182"/>
    </row>
    <row r="35" spans="4:12" x14ac:dyDescent="0.2">
      <c r="I35" s="77" t="str">
        <f>"Nome:" &amp;  " " &amp; DADOS!C28</f>
        <v>Nome: Marcelo C. Spode</v>
      </c>
    </row>
    <row r="36" spans="4:12" x14ac:dyDescent="0.2">
      <c r="D36" s="707">
        <f>DADOS!$C$25</f>
        <v>45803</v>
      </c>
      <c r="E36" s="707"/>
      <c r="F36" s="707"/>
      <c r="I36" s="77" t="str">
        <f>"Cargo:"  &amp; " " &amp; DADOS!C29</f>
        <v>Cargo: Prefeito Municipal</v>
      </c>
    </row>
    <row r="37" spans="4:12" x14ac:dyDescent="0.2">
      <c r="D37" s="141" t="s">
        <v>697</v>
      </c>
      <c r="E37" s="1"/>
      <c r="F37" s="1"/>
      <c r="K37" s="77"/>
      <c r="L37" s="78"/>
    </row>
  </sheetData>
  <sheetProtection password="BD1F" sheet="1" objects="1" scenarios="1" autoFilter="0"/>
  <autoFilter ref="C13:C25"/>
  <mergeCells count="20">
    <mergeCell ref="D3:E3"/>
    <mergeCell ref="G3:I3"/>
    <mergeCell ref="J3:L3"/>
    <mergeCell ref="M3:O4"/>
    <mergeCell ref="D4:E4"/>
    <mergeCell ref="G4:I4"/>
    <mergeCell ref="J4:L4"/>
    <mergeCell ref="AD10:AE10"/>
    <mergeCell ref="K24:K25"/>
    <mergeCell ref="C7:C11"/>
    <mergeCell ref="K9:K10"/>
    <mergeCell ref="AD9:AE9"/>
    <mergeCell ref="D7:K7"/>
    <mergeCell ref="G9:H10"/>
    <mergeCell ref="D6:K6"/>
    <mergeCell ref="A10:A11"/>
    <mergeCell ref="Z10:AB10"/>
    <mergeCell ref="D36:F36"/>
    <mergeCell ref="D28:O30"/>
    <mergeCell ref="D33:F33"/>
  </mergeCells>
  <phoneticPr fontId="38" type="noConversion"/>
  <conditionalFormatting sqref="T12:V12">
    <cfRule type="expression" dxfId="129" priority="674" stopIfTrue="1">
      <formula>OR($B12="Automático",$B12="Branco")</formula>
    </cfRule>
  </conditionalFormatting>
  <conditionalFormatting sqref="L12">
    <cfRule type="expression" dxfId="128" priority="675" stopIfTrue="1">
      <formula>OR(L12&lt;0,AND(L$13="Contrapartida Financeira (R$)",$B12="T%",OR(L12&lt;Import.CPMinPerc,AND(L12&gt;Import.CPMaxPerc,Import.CPMaxPerc&gt;0))),AND(L$13="Contrapartida Financeira (R$)",$B12="TR$",L12&lt;Import.CPMinAbsoluta))</formula>
    </cfRule>
  </conditionalFormatting>
  <conditionalFormatting sqref="W12:X12">
    <cfRule type="expression" dxfId="127" priority="676" stopIfTrue="1">
      <formula>OR($B12="Automático",$B12="Branco",$V12&lt;&gt;"Calculado")</formula>
    </cfRule>
  </conditionalFormatting>
  <conditionalFormatting sqref="M25">
    <cfRule type="expression" dxfId="126" priority="678" stopIfTrue="1">
      <formula>AND($G$9&lt;&gt;"",OR($M$25&lt;Import.CPMinPerc,$M$25&gt;Import.CPMaxPerc))</formula>
    </cfRule>
  </conditionalFormatting>
  <conditionalFormatting sqref="M24">
    <cfRule type="expression" dxfId="125" priority="679" stopIfTrue="1">
      <formula>AND($G$9&lt;&gt;"",$M$24&lt;Import.CPMinAbsoluta)</formula>
    </cfRule>
  </conditionalFormatting>
  <conditionalFormatting sqref="L10:M10">
    <cfRule type="cellIs" dxfId="124" priority="680" stopIfTrue="1" operator="lessThan">
      <formula>0</formula>
    </cfRule>
  </conditionalFormatting>
  <conditionalFormatting sqref="G12">
    <cfRule type="cellIs" dxfId="123" priority="681" stopIfTrue="1" operator="equal">
      <formula>"(digite a descrição aqui)"</formula>
    </cfRule>
  </conditionalFormatting>
  <conditionalFormatting sqref="T14:V22">
    <cfRule type="expression" dxfId="122" priority="5" stopIfTrue="1">
      <formula>OR($B14="Automático",$B14="Branco")</formula>
    </cfRule>
  </conditionalFormatting>
  <conditionalFormatting sqref="L14:L22">
    <cfRule type="expression" dxfId="121" priority="6" stopIfTrue="1">
      <formula>OR(L14&lt;0,AND(L$13="Contrapartida Financeira (R$)",$B14="T%",OR(L14&lt;Import.CPMinPerc,AND(L14&gt;Import.CPMaxPerc,Import.CPMaxPerc&gt;0))),AND(L$13="Contrapartida Financeira (R$)",$B14="TR$",L14&lt;Import.CPMinAbsoluta))</formula>
    </cfRule>
  </conditionalFormatting>
  <conditionalFormatting sqref="W14:X22">
    <cfRule type="expression" dxfId="120" priority="7" stopIfTrue="1">
      <formula>OR($B14="Automático",$B14="Branco",$V14&lt;&gt;"Calculado")</formula>
    </cfRule>
  </conditionalFormatting>
  <conditionalFormatting sqref="G14:G22">
    <cfRule type="cellIs" dxfId="119" priority="8" stopIfTrue="1" operator="equal">
      <formula>"(digite a descrição aqui)"</formula>
    </cfRule>
  </conditionalFormatting>
  <conditionalFormatting sqref="T23:V23">
    <cfRule type="expression" dxfId="118" priority="1" stopIfTrue="1">
      <formula>OR($B23="Automático",$B23="Branco")</formula>
    </cfRule>
  </conditionalFormatting>
  <conditionalFormatting sqref="L23">
    <cfRule type="expression" dxfId="117" priority="2" stopIfTrue="1">
      <formula>OR(L23&lt;0,AND(L$13="Contrapartida Financeira (R$)",$B23="T%",OR(L23&lt;Import.CPMinPerc,AND(L23&gt;Import.CPMaxPerc,Import.CPMaxPerc&gt;0))),AND(L$13="Contrapartida Financeira (R$)",$B23="TR$",L23&lt;Import.CPMinAbsoluta))</formula>
    </cfRule>
  </conditionalFormatting>
  <conditionalFormatting sqref="W23:X23">
    <cfRule type="expression" dxfId="116" priority="3" stopIfTrue="1">
      <formula>OR($B23="Automático",$B23="Branco",$V23&lt;&gt;"Calculado")</formula>
    </cfRule>
  </conditionalFormatting>
  <conditionalFormatting sqref="G23">
    <cfRule type="cellIs" dxfId="115" priority="4" stopIfTrue="1" operator="equal">
      <formula>"(digite a descrição aqui)"</formula>
    </cfRule>
  </conditionalFormatting>
  <dataValidations count="9">
    <dataValidation type="decimal" operator="greaterThan" allowBlank="1" showErrorMessage="1" error="Digite apenas números decimais maiores do que 0." sqref="U12 U14:U23">
      <formula1>0</formula1>
      <formula2>0</formula2>
    </dataValidation>
    <dataValidation type="list" allowBlank="1" sqref="E12 E14:E23">
      <formula1>QCI.ItemInvestimento</formula1>
      <formula2>0</formula2>
    </dataValidation>
    <dataValidation type="list" allowBlank="1" sqref="F12 F14:F23">
      <formula1>QCI.SubItemInvestimento</formula1>
      <formula2>0</formula2>
    </dataValidation>
    <dataValidation type="list" allowBlank="1" sqref="H12 H14:H23">
      <formula1>"Sem Projeto,Em Análise,Análise Concluída / A Licitar,Licitado / Em Execução,Concluído"</formula1>
      <formula2>0</formula2>
    </dataValidation>
    <dataValidation type="decimal" operator="greaterThan" allowBlank="1" showErrorMessage="1" errorTitle="Erro" error="Digite valores maiores do que 0." sqref="I12 I14:I23">
      <formula1>0</formula1>
      <formula2>0</formula2>
    </dataValidation>
    <dataValidation type="list" allowBlank="1" showErrorMessage="1" sqref="V12 V14:V23">
      <formula1>"Proporcional,Calculado"</formula1>
      <formula2>0</formula2>
    </dataValidation>
    <dataValidation type="decimal" allowBlank="1" showInputMessage="1" showErrorMessage="1" errorTitle="Erro de valor" error="Digite somente valor de 0,00 ao valor do Investimento. A Somatória dos valores não deve ultrapassar o valor de Investimento." promptTitle="Contrapartida Financeira:" prompt="Digite o valor de Contrapartida Financeira para esta Meta." sqref="W12 W14:W23">
      <formula1>0</formula1>
      <formula2>QCI.MaxCPManual</formula2>
    </dataValidation>
    <dataValidation type="decimal" allowBlank="1" showInputMessage="1" showErrorMessage="1" errorTitle="Erro de valor" error="Digite somente valor de 0,00 ao valor do Investimento. A Somatória dos valores não deve ultrapassar o valor de Investimento." promptTitle="Contrapartida Física / Outros:" prompt="Digite o valor de Contrapartida Física / Outros para esta Meta." sqref="X12 X14:X23">
      <formula1>0</formula1>
      <formula2>QCI.MaxOUManual</formula2>
    </dataValidation>
    <dataValidation allowBlank="1" showInputMessage="1" showErrorMessage="1" prompt="Preencha somente se a meta não fizer parte do Orçamento desta Plan. Mult." sqref="R12 R14:R23"/>
  </dataValidations>
  <pageMargins left="0.78740157480314998" right="0.78740157480314998" top="0.78740157480314998" bottom="0.78740157480314998" header="0.59055118110236204" footer="0.59055118110236204"/>
  <pageSetup paperSize="9" scale="63" firstPageNumber="0" fitToHeight="0" orientation="landscape" horizontalDpi="300" verticalDpi="300" r:id="rId1"/>
  <headerFooter alignWithMargins="0">
    <oddHeader>&amp;L_&amp;C&amp;14I</oddHeader>
    <oddFooter>&amp;LPMv3.10&amp;R&amp;P / &amp;N</oddFooter>
  </headerFooter>
  <colBreaks count="1" manualBreakCount="1">
    <brk id="15" max="1048575" man="1"/>
  </colBreaks>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11"/>
  <dimension ref="A1:AG82"/>
  <sheetViews>
    <sheetView showGridLines="0" zoomScaleNormal="100" zoomScaleSheetLayoutView="100" workbookViewId="0">
      <pane xSplit="4" ySplit="13" topLeftCell="E14" activePane="bottomRight" state="frozen"/>
      <selection pane="topRight" activeCell="E1" sqref="E1"/>
      <selection pane="bottomLeft" activeCell="A13" sqref="A13"/>
      <selection pane="bottomRight"/>
    </sheetView>
  </sheetViews>
  <sheetFormatPr defaultRowHeight="12.75" x14ac:dyDescent="0.2"/>
  <cols>
    <col min="1" max="1" width="3.5703125" customWidth="1"/>
    <col min="2" max="2" width="8.140625" customWidth="1"/>
    <col min="3" max="3" width="17" customWidth="1"/>
    <col min="4" max="4" width="19.85546875" customWidth="1"/>
    <col min="5" max="5" width="0.85546875" customWidth="1"/>
    <col min="6" max="6" width="5.5703125" hidden="1" customWidth="1"/>
    <col min="7" max="7" width="9.140625" hidden="1" customWidth="1"/>
    <col min="8" max="32" width="5.5703125" customWidth="1"/>
    <col min="33" max="33" width="8.5703125" hidden="1" customWidth="1"/>
    <col min="34" max="34" width="8.5703125" customWidth="1"/>
  </cols>
  <sheetData>
    <row r="1" spans="1:33" hidden="1" x14ac:dyDescent="0.2">
      <c r="A1" s="7" t="e">
        <f ca="1">IF(AUTOEVENTO="Manual",IF(OFFSET(EVENTOS!$F$14,PLE!$B1,0)&gt;0,"F",""),IF(PLE!B1&lt;=MAX(CÁLCULO!$M$15:$M$27),"F",""))</f>
        <v>#REF!</v>
      </c>
      <c r="B1" s="248" t="e">
        <f ca="1">OFFSET(B1,-1,0)+1</f>
        <v>#REF!</v>
      </c>
      <c r="C1" s="784" t="e">
        <f ca="1">IF(AUTOEVENTO="Manual",OFFSET(EVENTOS!$D$15,$B1-$B$15,0),IF(B1&lt;=MAX(CÁLCULO!$M$15:$M$27),VLOOKUP($B1,CÁLCULO!$M$15:$N$27,2,FALSE),0))</f>
        <v>#REF!</v>
      </c>
      <c r="D1" s="784"/>
      <c r="F1" s="249"/>
      <c r="H1" s="249"/>
      <c r="I1" s="249"/>
      <c r="J1" s="249"/>
      <c r="K1" s="249"/>
      <c r="L1" s="249"/>
      <c r="M1" s="249"/>
      <c r="N1" s="249"/>
      <c r="O1" s="249"/>
      <c r="P1" s="249"/>
      <c r="Q1" s="249"/>
      <c r="R1" s="249"/>
      <c r="S1" s="249"/>
      <c r="T1" s="249"/>
      <c r="U1" s="249"/>
      <c r="V1" s="249"/>
      <c r="W1" s="249"/>
      <c r="X1" s="249"/>
      <c r="Y1" s="249"/>
      <c r="Z1" s="249"/>
      <c r="AA1" s="249"/>
      <c r="AB1" s="249"/>
      <c r="AC1" s="249"/>
      <c r="AD1" s="249"/>
      <c r="AE1" s="249"/>
      <c r="AF1" s="249"/>
    </row>
    <row r="2" spans="1:33" hidden="1" x14ac:dyDescent="0.2">
      <c r="A2" s="7"/>
      <c r="B2" s="7"/>
      <c r="C2" s="12"/>
      <c r="D2" s="12"/>
      <c r="F2" s="439"/>
    </row>
    <row r="3" spans="1:33" ht="15.75" x14ac:dyDescent="0.25">
      <c r="H3" s="207" t="s">
        <v>838</v>
      </c>
      <c r="AD3" s="694" t="s">
        <v>646</v>
      </c>
      <c r="AE3" s="694"/>
      <c r="AF3" s="694"/>
    </row>
    <row r="4" spans="1:33" ht="15.75" x14ac:dyDescent="0.2">
      <c r="B4" s="82"/>
      <c r="C4" s="82"/>
      <c r="H4" s="83" t="str">
        <f>import.recurso</f>
        <v>(SELECIONAR)</v>
      </c>
      <c r="AD4" s="695" t="s">
        <v>649</v>
      </c>
      <c r="AE4" s="695"/>
      <c r="AF4" s="695"/>
    </row>
    <row r="6" spans="1:33" x14ac:dyDescent="0.2">
      <c r="B6" s="209" t="s">
        <v>652</v>
      </c>
      <c r="C6" s="264"/>
      <c r="D6" s="211" t="s">
        <v>710</v>
      </c>
      <c r="E6" s="4"/>
      <c r="H6" s="212" t="s">
        <v>793</v>
      </c>
      <c r="I6" s="187"/>
      <c r="J6" s="187"/>
      <c r="K6" s="187"/>
      <c r="L6" s="186"/>
      <c r="M6" s="186"/>
      <c r="N6" s="265"/>
      <c r="O6" s="209" t="s">
        <v>761</v>
      </c>
      <c r="P6" s="213"/>
      <c r="R6" s="187"/>
      <c r="S6" s="187"/>
      <c r="T6" s="187"/>
      <c r="U6" s="210"/>
      <c r="V6" s="209" t="str">
        <f>IF(TIPOORCAMENTO="Licitado","NOME DA EMPRESA","DESCRIÇÃO DO LOTE")</f>
        <v>DESCRIÇÃO DO LOTE</v>
      </c>
      <c r="W6" s="187"/>
      <c r="X6" s="187"/>
      <c r="Y6" s="187"/>
      <c r="AD6" s="4"/>
      <c r="AE6" s="786" t="str">
        <f>IF(TIPOORCAMENTO="Licitado","Nº CTEF","")</f>
        <v/>
      </c>
      <c r="AF6" s="786"/>
    </row>
    <row r="7" spans="1:33" x14ac:dyDescent="0.2">
      <c r="B7" s="751">
        <f>Import.CR</f>
        <v>0</v>
      </c>
      <c r="C7" s="751"/>
      <c r="D7" s="215">
        <f>Import.TransfereGOV</f>
        <v>0</v>
      </c>
      <c r="E7" s="42"/>
      <c r="H7" s="750" t="str">
        <f>Import.Proponente</f>
        <v>PREFEITURA MUNICIPAL</v>
      </c>
      <c r="I7" s="750"/>
      <c r="J7" s="750"/>
      <c r="K7" s="750"/>
      <c r="L7" s="750"/>
      <c r="M7" s="750"/>
      <c r="N7" s="750"/>
      <c r="O7" s="751" t="str">
        <f>Import.Apelido</f>
        <v>COBERTURA DE QUADRA</v>
      </c>
      <c r="P7" s="751"/>
      <c r="Q7" s="751"/>
      <c r="R7" s="751"/>
      <c r="S7" s="751"/>
      <c r="T7" s="751"/>
      <c r="U7" s="751"/>
      <c r="V7" s="751" t="str">
        <f>IF(TIPOORCAMENTO="Licitado",Import.empresa,Import.DescLote)</f>
        <v>COBERTURA DE QUADRA</v>
      </c>
      <c r="W7" s="751"/>
      <c r="X7" s="751"/>
      <c r="Y7" s="751"/>
      <c r="Z7" s="751"/>
      <c r="AA7" s="751"/>
      <c r="AB7" s="751"/>
      <c r="AC7" s="751"/>
      <c r="AD7" s="751"/>
      <c r="AE7" s="787" t="str">
        <f>IF(TIPOORCAMENTO="Licitado",Import.CTEF,"")</f>
        <v/>
      </c>
      <c r="AF7" s="787"/>
      <c r="AG7" s="266"/>
    </row>
    <row r="9" spans="1:33" ht="15.75" x14ac:dyDescent="0.25">
      <c r="A9" s="166">
        <v>0</v>
      </c>
      <c r="B9" s="267"/>
      <c r="C9" s="267"/>
      <c r="I9" s="268" t="s">
        <v>839</v>
      </c>
      <c r="J9" s="789">
        <v>1</v>
      </c>
      <c r="K9" s="789"/>
      <c r="M9" s="268" t="s">
        <v>804</v>
      </c>
      <c r="N9" s="790" t="str">
        <f ca="1">TEXT(IF(PLE.Medicao=1,Import.DataInicioObra,OFFSET($H$68,0,1+(PLE.Medicao-$I$69)*2-2)+1),"dd/mm/aaaa")&amp;" a "&amp;TEXT(OFFSET($H$68,0,1+(PLE.Medicao-$I$69)*2),"dd/mm/aaaa")</f>
        <v>00/01/1900 a 00/01/1900</v>
      </c>
      <c r="O9" s="790"/>
      <c r="P9" s="790"/>
      <c r="Q9" s="790"/>
      <c r="R9" s="790"/>
      <c r="S9" s="790"/>
      <c r="T9" s="790"/>
      <c r="U9" s="269"/>
      <c r="X9" s="268" t="s">
        <v>840</v>
      </c>
      <c r="Y9" s="788" t="e">
        <f ca="1">OFFSET($I$69,1+8*(ROUNDUP(($J$9-0)/((COLUMN($AG$14)-COLUMN($G$14)-1)/25*12),0)-1),ROUNDDOWN((($J$9-0)-OFFSET($I$69,8*(ROUNDUP(($J$9-0)/((COLUMN($AG$14)-COLUMN($G$14)-1)/25*12),0)-1),0))*(2+1/12),0))</f>
        <v>#DIV/0!</v>
      </c>
      <c r="Z9" s="788"/>
      <c r="AD9" s="268" t="s">
        <v>841</v>
      </c>
      <c r="AE9" s="788" t="e">
        <f ca="1">OFFSET($I$69,3+8*(ROUNDUP(($J$9-0)/((COLUMN($AG$14)-COLUMN($G$14)-1)/25*12),0)-1),ROUNDDOWN((($J$9-0)-OFFSET($I$69,8*(ROUNDUP(($J$9-0)/((COLUMN($AG$14)-COLUMN($G$14)-1)/25*12),0)-1),0))*(2+1/12),0))</f>
        <v>#DIV/0!</v>
      </c>
      <c r="AF9" s="788"/>
    </row>
    <row r="11" spans="1:33" ht="65.25" customHeight="1" x14ac:dyDescent="0.2">
      <c r="A11" s="251" t="s">
        <v>842</v>
      </c>
      <c r="C11" s="785" t="e">
        <f ca="1">IF(_xlfn.SINGLE(TIPOORCAMENTO)="proposto","ALTERE O TIPO DE ORÇAMENTO NA ABA 'MENU' PARA LICITADO.",
 IF(_xlfn.SINGLE(ACOMPANHAMENTO)="BM","FOI SELECIONADO NA ABA 'MENU' O ACOMPANHAMENTO POR BM.",
 IF(AND(PLE.Medicao=1,DADOS!$C$47=0),"PREENCHER A DATA DE INÍCIO DA OBRA, NA ABA DADOS",
 IF($Y$9=0,"PREENCHER A MEDIÇÃO "&amp;PLE.Medicao,
 IF($H$68&lt;&gt;"",UPPER($H$68),
 IF($S$77&lt;&gt;"",UPPER($S$77),""))))))</f>
        <v>#NAME?</v>
      </c>
      <c r="D11" s="785"/>
      <c r="F11" s="253">
        <f ca="1">IF(F$12&gt;CÁLCULO.NúmeroDeFrentes,"",OFFSET(CÁLCULO!$P$12,0,F$12))</f>
        <v>0</v>
      </c>
      <c r="H11" s="253">
        <f ca="1">IF(H$12&gt;CÁLCULO.NúmeroDeFrentes,"",OFFSET(CÁLCULO!$P$12,0,H$12))</f>
        <v>0</v>
      </c>
      <c r="I11" s="253">
        <f ca="1">IF(I$12&gt;CÁLCULO.NúmeroDeFrentes,"",OFFSET(CÁLCULO!$P$12,0,I$12))</f>
        <v>0</v>
      </c>
      <c r="J11" s="253">
        <f ca="1">IF(J$12&gt;CÁLCULO.NúmeroDeFrentes,"",OFFSET(CÁLCULO!$P$12,0,J$12))</f>
        <v>0</v>
      </c>
      <c r="K11" s="253">
        <f ca="1">IF(K$12&gt;CÁLCULO.NúmeroDeFrentes,"",OFFSET(CÁLCULO!$P$12,0,K$12))</f>
        <v>0</v>
      </c>
      <c r="L11" s="253">
        <f ca="1">IF(L$12&gt;CÁLCULO.NúmeroDeFrentes,"",OFFSET(CÁLCULO!$P$12,0,L$12))</f>
        <v>0</v>
      </c>
      <c r="M11" s="253">
        <f ca="1">IF(M$12&gt;CÁLCULO.NúmeroDeFrentes,"",OFFSET(CÁLCULO!$P$12,0,M$12))</f>
        <v>0</v>
      </c>
      <c r="N11" s="253">
        <f ca="1">IF(N$12&gt;CÁLCULO.NúmeroDeFrentes,"",OFFSET(CÁLCULO!$P$12,0,N$12))</f>
        <v>0</v>
      </c>
      <c r="O11" s="253">
        <f ca="1">IF(O$12&gt;CÁLCULO.NúmeroDeFrentes,"",OFFSET(CÁLCULO!$P$12,0,O$12))</f>
        <v>0</v>
      </c>
      <c r="P11" s="253">
        <f ca="1">IF(P$12&gt;CÁLCULO.NúmeroDeFrentes,"",OFFSET(CÁLCULO!$P$12,0,P$12))</f>
        <v>0</v>
      </c>
      <c r="Q11" s="253">
        <f ca="1">IF(Q$12&gt;CÁLCULO.NúmeroDeFrentes,"",OFFSET(CÁLCULO!$P$12,0,Q$12))</f>
        <v>0</v>
      </c>
      <c r="R11" s="253" t="str">
        <f ca="1">IF(R$12&gt;CÁLCULO.NúmeroDeFrentes,"",OFFSET(CÁLCULO!$P$12,0,R$12))</f>
        <v/>
      </c>
      <c r="S11" s="253" t="str">
        <f ca="1">IF(S$12&gt;CÁLCULO.NúmeroDeFrentes,"",OFFSET(CÁLCULO!$P$12,0,S$12))</f>
        <v/>
      </c>
      <c r="T11" s="253" t="str">
        <f ca="1">IF(T$12&gt;CÁLCULO.NúmeroDeFrentes,"",OFFSET(CÁLCULO!$P$12,0,T$12))</f>
        <v/>
      </c>
      <c r="U11" s="253" t="str">
        <f ca="1">IF(U$12&gt;CÁLCULO.NúmeroDeFrentes,"",OFFSET(CÁLCULO!$P$12,0,U$12))</f>
        <v/>
      </c>
      <c r="V11" s="253" t="str">
        <f ca="1">IF(V$12&gt;CÁLCULO.NúmeroDeFrentes,"",OFFSET(CÁLCULO!$P$12,0,V$12))</f>
        <v/>
      </c>
      <c r="W11" s="253" t="str">
        <f ca="1">IF(W$12&gt;CÁLCULO.NúmeroDeFrentes,"",OFFSET(CÁLCULO!$P$12,0,W$12))</f>
        <v/>
      </c>
      <c r="X11" s="253" t="str">
        <f ca="1">IF(X$12&gt;CÁLCULO.NúmeroDeFrentes,"",OFFSET(CÁLCULO!$P$12,0,X$12))</f>
        <v/>
      </c>
      <c r="Y11" s="253" t="str">
        <f ca="1">IF(Y$12&gt;CÁLCULO.NúmeroDeFrentes,"",OFFSET(CÁLCULO!$P$12,0,Y$12))</f>
        <v/>
      </c>
      <c r="Z11" s="253" t="str">
        <f ca="1">IF(Z$12&gt;CÁLCULO.NúmeroDeFrentes,"",OFFSET(CÁLCULO!$P$12,0,Z$12))</f>
        <v/>
      </c>
      <c r="AA11" s="253" t="str">
        <f ca="1">IF(AA$12&gt;CÁLCULO.NúmeroDeFrentes,"",OFFSET(CÁLCULO!$P$12,0,AA$12))</f>
        <v/>
      </c>
      <c r="AB11" s="253" t="str">
        <f ca="1">IF(AB$12&gt;CÁLCULO.NúmeroDeFrentes,"",OFFSET(CÁLCULO!$P$12,0,AB$12))</f>
        <v/>
      </c>
      <c r="AC11" s="253" t="str">
        <f ca="1">IF(AC$12&gt;CÁLCULO.NúmeroDeFrentes,"",OFFSET(CÁLCULO!$P$12,0,AC$12))</f>
        <v/>
      </c>
      <c r="AD11" s="253" t="str">
        <f ca="1">IF(AD$12&gt;CÁLCULO.NúmeroDeFrentes,"",OFFSET(CÁLCULO!$P$12,0,AD$12))</f>
        <v/>
      </c>
      <c r="AE11" s="253" t="str">
        <f ca="1">IF(AE$12&gt;CÁLCULO.NúmeroDeFrentes,"",OFFSET(CÁLCULO!$P$12,0,AE$12))</f>
        <v/>
      </c>
      <c r="AF11" s="253" t="str">
        <f ca="1">IF(AF$12&gt;CÁLCULO.NúmeroDeFrentes,"",OFFSET(CÁLCULO!$P$12,0,AF$12))</f>
        <v/>
      </c>
    </row>
    <row r="12" spans="1:33" ht="12.75" customHeight="1" x14ac:dyDescent="0.2">
      <c r="A12" s="107" t="s">
        <v>662</v>
      </c>
      <c r="B12" s="744" t="s">
        <v>764</v>
      </c>
      <c r="C12" s="744" t="s">
        <v>783</v>
      </c>
      <c r="D12" s="744"/>
      <c r="F12" s="254">
        <f ca="1">OFFSET(F12,0,-1)+1</f>
        <v>1</v>
      </c>
      <c r="H12" s="254">
        <f ca="1">OFFSET(H12,0,-1)+1</f>
        <v>1</v>
      </c>
      <c r="I12" s="254">
        <f ca="1">OFFSET(I12,0,-1)+1</f>
        <v>2</v>
      </c>
      <c r="J12" s="254">
        <f t="shared" ref="J12:AF12" ca="1" si="0">OFFSET(J12,0,-1)+1</f>
        <v>3</v>
      </c>
      <c r="K12" s="254">
        <f t="shared" ca="1" si="0"/>
        <v>4</v>
      </c>
      <c r="L12" s="254">
        <f t="shared" ca="1" si="0"/>
        <v>5</v>
      </c>
      <c r="M12" s="254">
        <f t="shared" ca="1" si="0"/>
        <v>6</v>
      </c>
      <c r="N12" s="254">
        <f t="shared" ca="1" si="0"/>
        <v>7</v>
      </c>
      <c r="O12" s="254">
        <f t="shared" ca="1" si="0"/>
        <v>8</v>
      </c>
      <c r="P12" s="254">
        <f t="shared" ca="1" si="0"/>
        <v>9</v>
      </c>
      <c r="Q12" s="254">
        <f t="shared" ca="1" si="0"/>
        <v>10</v>
      </c>
      <c r="R12" s="254">
        <f t="shared" ca="1" si="0"/>
        <v>11</v>
      </c>
      <c r="S12" s="254">
        <f t="shared" ca="1" si="0"/>
        <v>12</v>
      </c>
      <c r="T12" s="254">
        <f t="shared" ca="1" si="0"/>
        <v>13</v>
      </c>
      <c r="U12" s="254">
        <f t="shared" ca="1" si="0"/>
        <v>14</v>
      </c>
      <c r="V12" s="254">
        <f t="shared" ca="1" si="0"/>
        <v>15</v>
      </c>
      <c r="W12" s="254">
        <f t="shared" ca="1" si="0"/>
        <v>16</v>
      </c>
      <c r="X12" s="254">
        <f t="shared" ca="1" si="0"/>
        <v>17</v>
      </c>
      <c r="Y12" s="254">
        <f t="shared" ca="1" si="0"/>
        <v>18</v>
      </c>
      <c r="Z12" s="254">
        <f t="shared" ca="1" si="0"/>
        <v>19</v>
      </c>
      <c r="AA12" s="254">
        <f t="shared" ca="1" si="0"/>
        <v>20</v>
      </c>
      <c r="AB12" s="254">
        <f t="shared" ca="1" si="0"/>
        <v>21</v>
      </c>
      <c r="AC12" s="254">
        <f t="shared" ca="1" si="0"/>
        <v>22</v>
      </c>
      <c r="AD12" s="254">
        <f t="shared" ca="1" si="0"/>
        <v>23</v>
      </c>
      <c r="AE12" s="254">
        <f t="shared" ca="1" si="0"/>
        <v>24</v>
      </c>
      <c r="AF12" s="254">
        <f t="shared" ca="1" si="0"/>
        <v>25</v>
      </c>
    </row>
    <row r="13" spans="1:33" x14ac:dyDescent="0.2">
      <c r="B13" s="744"/>
      <c r="C13" s="744"/>
      <c r="D13" s="744"/>
      <c r="F13" s="256"/>
      <c r="H13" s="256"/>
      <c r="I13" s="255"/>
      <c r="J13" s="255"/>
      <c r="K13" s="255"/>
      <c r="L13" s="255"/>
      <c r="M13" s="255"/>
      <c r="N13" s="255" t="s">
        <v>843</v>
      </c>
      <c r="O13" s="255"/>
      <c r="P13" s="255"/>
      <c r="Q13" s="255"/>
      <c r="R13" s="255"/>
      <c r="S13" s="255"/>
      <c r="T13" s="255"/>
      <c r="U13" s="255"/>
      <c r="V13" s="255"/>
      <c r="W13" s="255"/>
      <c r="X13" s="255"/>
      <c r="Y13" s="255"/>
      <c r="Z13" s="255"/>
      <c r="AA13" s="255"/>
      <c r="AB13" s="255"/>
      <c r="AC13" s="255"/>
      <c r="AD13" s="255"/>
      <c r="AE13" s="255"/>
      <c r="AF13" s="257"/>
    </row>
    <row r="14" spans="1:33" ht="3.95" customHeight="1" x14ac:dyDescent="0.2">
      <c r="A14" s="7" t="s">
        <v>538</v>
      </c>
    </row>
    <row r="15" spans="1:33" x14ac:dyDescent="0.2">
      <c r="A15" s="7" t="str">
        <f ca="1">IF(AND(AUTOEVENTO="Manual",OFFSET(EVENTOS!$F$1,1,0)&gt;0),"F","")</f>
        <v/>
      </c>
      <c r="B15" s="258">
        <f ca="1">EVENTOS!$C$15</f>
        <v>0</v>
      </c>
      <c r="C15" s="791" t="str">
        <f ca="1">EVENTOS!$D$15</f>
        <v/>
      </c>
      <c r="D15" s="791"/>
      <c r="F15" s="261"/>
      <c r="H15" s="261" t="str">
        <f ca="1">IF(AUTOEVENTO="MANUAL","A administração local será proporcional a execução dos demais eventos, independente de frentes de obra.","Para aplicação de Adm. Local é necessário definir os eventos manualmente.")</f>
        <v>Para aplicação de Adm. Local é necessário definir os eventos manualmente.</v>
      </c>
      <c r="I15" s="260"/>
      <c r="J15" s="260"/>
      <c r="K15" s="260"/>
      <c r="L15" s="260"/>
      <c r="M15" s="260"/>
      <c r="N15" s="260"/>
      <c r="O15" s="260"/>
      <c r="P15" s="260"/>
      <c r="Q15" s="260"/>
      <c r="R15" s="260"/>
      <c r="S15" s="260"/>
      <c r="T15" s="260"/>
      <c r="U15" s="260"/>
      <c r="V15" s="260"/>
      <c r="W15" s="260"/>
      <c r="X15" s="260"/>
      <c r="Y15" s="260"/>
      <c r="Z15" s="260"/>
      <c r="AA15" s="260"/>
      <c r="AB15" s="260"/>
      <c r="AC15" s="260"/>
      <c r="AD15" s="260"/>
      <c r="AE15" s="260"/>
      <c r="AF15" s="262"/>
    </row>
    <row r="16" spans="1:33" x14ac:dyDescent="0.2">
      <c r="A16" s="7" t="str">
        <f ca="1">IF(AUTOEVENTO="Manual",IF(OFFSET(EVENTOS!$F$14,PLE!$B16,0)&gt;0,"F",""),IF(PLE!B16&lt;=MAX(CÁLCULO!$M$15:$M$27),"F",""))</f>
        <v>F</v>
      </c>
      <c r="B16" s="248">
        <f t="shared" ref="B16:B64" ca="1" si="1">OFFSET(B16,-1,0)+1</f>
        <v>1</v>
      </c>
      <c r="C16" s="784" t="str">
        <f ca="1">IF(AUTOEVENTO="Manual",OFFSET(EVENTOS!$D$15,$B16-$B$15,0),IF(B16&lt;=MAX(CÁLCULO!$M$15:$M$27),VLOOKUP($B16,CÁLCULO!$M$15:$N$27,2,FALSE),0))</f>
        <v>FUNDAÇÕES</v>
      </c>
      <c r="D16" s="784"/>
      <c r="F16" s="249"/>
      <c r="H16" s="249"/>
      <c r="I16" s="249"/>
      <c r="J16" s="249"/>
      <c r="K16" s="249"/>
      <c r="L16" s="249"/>
      <c r="M16" s="249"/>
      <c r="N16" s="249"/>
      <c r="O16" s="249"/>
      <c r="P16" s="249"/>
      <c r="Q16" s="249"/>
      <c r="R16" s="249"/>
      <c r="S16" s="249"/>
      <c r="T16" s="249"/>
      <c r="U16" s="249"/>
      <c r="V16" s="249"/>
      <c r="W16" s="249"/>
      <c r="X16" s="249"/>
      <c r="Y16" s="249"/>
      <c r="Z16" s="249"/>
      <c r="AA16" s="249"/>
      <c r="AB16" s="249"/>
      <c r="AC16" s="249"/>
      <c r="AD16" s="249"/>
      <c r="AE16" s="249"/>
      <c r="AF16" s="249"/>
    </row>
    <row r="17" spans="1:32" x14ac:dyDescent="0.2">
      <c r="A17" s="7" t="str">
        <f ca="1">IF(AUTOEVENTO="Manual",IF(OFFSET(EVENTOS!$F$14,PLE!$B17,0)&gt;0,"F",""),IF(PLE!B17&lt;=MAX(CÁLCULO!$M$15:$M$27),"F",""))</f>
        <v>F</v>
      </c>
      <c r="B17" s="248">
        <f t="shared" ca="1" si="1"/>
        <v>2</v>
      </c>
      <c r="C17" s="784" t="str">
        <f ca="1">IF(AUTOEVENTO="Manual",OFFSET(EVENTOS!$D$15,$B17-$B$15,0),IF(B17&lt;=MAX(CÁLCULO!$M$15:$M$27),VLOOKUP($B17,CÁLCULO!$M$15:$N$27,2,FALSE),0))</f>
        <v>ESTRUTURAS</v>
      </c>
      <c r="D17" s="784"/>
      <c r="F17" s="249"/>
      <c r="H17" s="249"/>
      <c r="I17" s="249"/>
      <c r="J17" s="249"/>
      <c r="K17" s="249"/>
      <c r="L17" s="249"/>
      <c r="M17" s="249"/>
      <c r="N17" s="249"/>
      <c r="O17" s="249"/>
      <c r="P17" s="249"/>
      <c r="Q17" s="249"/>
      <c r="R17" s="249"/>
      <c r="S17" s="249"/>
      <c r="T17" s="249"/>
      <c r="U17" s="249"/>
      <c r="V17" s="249"/>
      <c r="W17" s="249"/>
      <c r="X17" s="249"/>
      <c r="Y17" s="249"/>
      <c r="Z17" s="249"/>
      <c r="AA17" s="249"/>
      <c r="AB17" s="249"/>
      <c r="AC17" s="249"/>
      <c r="AD17" s="249"/>
      <c r="AE17" s="249"/>
      <c r="AF17" s="249"/>
    </row>
    <row r="18" spans="1:32" x14ac:dyDescent="0.2">
      <c r="A18" s="7" t="str">
        <f ca="1">IF(AUTOEVENTO="Manual",IF(OFFSET(EVENTOS!$F$14,PLE!$B18,0)&gt;0,"F",""),IF(PLE!B18&lt;=MAX(CÁLCULO!$M$15:$M$27),"F",""))</f>
        <v>F</v>
      </c>
      <c r="B18" s="248">
        <f t="shared" ca="1" si="1"/>
        <v>3</v>
      </c>
      <c r="C18" s="784" t="str">
        <f ca="1">IF(AUTOEVENTO="Manual",OFFSET(EVENTOS!$D$15,$B18-$B$15,0),IF(B18&lt;=MAX(CÁLCULO!$M$15:$M$27),VLOOKUP($B18,CÁLCULO!$M$15:$N$27,2,FALSE),0))</f>
        <v>COBERTURA</v>
      </c>
      <c r="D18" s="784"/>
      <c r="F18" s="249"/>
      <c r="H18" s="249"/>
      <c r="I18" s="249"/>
      <c r="J18" s="249"/>
      <c r="K18" s="249"/>
      <c r="L18" s="249"/>
      <c r="M18" s="249"/>
      <c r="N18" s="249"/>
      <c r="O18" s="249"/>
      <c r="P18" s="249"/>
      <c r="Q18" s="249"/>
      <c r="R18" s="249"/>
      <c r="S18" s="249"/>
      <c r="T18" s="249"/>
      <c r="U18" s="249"/>
      <c r="V18" s="249"/>
      <c r="W18" s="249"/>
      <c r="X18" s="249"/>
      <c r="Y18" s="249"/>
      <c r="Z18" s="249"/>
      <c r="AA18" s="249"/>
      <c r="AB18" s="249"/>
      <c r="AC18" s="249"/>
      <c r="AD18" s="249"/>
      <c r="AE18" s="249"/>
      <c r="AF18" s="249"/>
    </row>
    <row r="19" spans="1:32" x14ac:dyDescent="0.2">
      <c r="A19" s="7" t="str">
        <f ca="1">IF(AUTOEVENTO="Manual",IF(OFFSET(EVENTOS!$F$14,PLE!$B19,0)&gt;0,"F",""),IF(PLE!B19&lt;=MAX(CÁLCULO!$M$15:$M$27),"F",""))</f>
        <v/>
      </c>
      <c r="B19" s="248">
        <f t="shared" ca="1" si="1"/>
        <v>4</v>
      </c>
      <c r="C19" s="784">
        <f ca="1">IF(AUTOEVENTO="Manual",OFFSET(EVENTOS!$D$15,$B19-$B$15,0),IF(B19&lt;=MAX(CÁLCULO!$M$15:$M$27),VLOOKUP($B19,CÁLCULO!$M$15:$N$27,2,FALSE),0))</f>
        <v>0</v>
      </c>
      <c r="D19" s="784"/>
      <c r="F19" s="249"/>
      <c r="H19" s="249"/>
      <c r="I19" s="249"/>
      <c r="J19" s="249"/>
      <c r="K19" s="249"/>
      <c r="L19" s="249"/>
      <c r="M19" s="249"/>
      <c r="N19" s="249"/>
      <c r="O19" s="249"/>
      <c r="P19" s="249"/>
      <c r="Q19" s="249"/>
      <c r="R19" s="249"/>
      <c r="S19" s="249"/>
      <c r="T19" s="249"/>
      <c r="U19" s="249"/>
      <c r="V19" s="249"/>
      <c r="W19" s="249"/>
      <c r="X19" s="249"/>
      <c r="Y19" s="249"/>
      <c r="Z19" s="249"/>
      <c r="AA19" s="249"/>
      <c r="AB19" s="249"/>
      <c r="AC19" s="249"/>
      <c r="AD19" s="249"/>
      <c r="AE19" s="249"/>
      <c r="AF19" s="249"/>
    </row>
    <row r="20" spans="1:32" x14ac:dyDescent="0.2">
      <c r="A20" s="7" t="str">
        <f ca="1">IF(AUTOEVENTO="Manual",IF(OFFSET(EVENTOS!$F$14,PLE!$B20,0)&gt;0,"F",""),IF(PLE!B20&lt;=MAX(CÁLCULO!$M$15:$M$27),"F",""))</f>
        <v/>
      </c>
      <c r="B20" s="248">
        <f t="shared" ca="1" si="1"/>
        <v>5</v>
      </c>
      <c r="C20" s="784">
        <f ca="1">IF(AUTOEVENTO="Manual",OFFSET(EVENTOS!$D$15,$B20-$B$15,0),IF(B20&lt;=MAX(CÁLCULO!$M$15:$M$27),VLOOKUP($B20,CÁLCULO!$M$15:$N$27,2,FALSE),0))</f>
        <v>0</v>
      </c>
      <c r="D20" s="784"/>
      <c r="F20" s="249"/>
      <c r="H20" s="249"/>
      <c r="I20" s="249"/>
      <c r="J20" s="249"/>
      <c r="K20" s="249"/>
      <c r="L20" s="249"/>
      <c r="M20" s="249"/>
      <c r="N20" s="249"/>
      <c r="O20" s="249"/>
      <c r="P20" s="249"/>
      <c r="Q20" s="249"/>
      <c r="R20" s="249"/>
      <c r="S20" s="249"/>
      <c r="T20" s="249"/>
      <c r="U20" s="249"/>
      <c r="V20" s="249"/>
      <c r="W20" s="249"/>
      <c r="X20" s="249"/>
      <c r="Y20" s="249"/>
      <c r="Z20" s="249"/>
      <c r="AA20" s="249"/>
      <c r="AB20" s="249"/>
      <c r="AC20" s="249"/>
      <c r="AD20" s="249"/>
      <c r="AE20" s="249"/>
      <c r="AF20" s="249"/>
    </row>
    <row r="21" spans="1:32" x14ac:dyDescent="0.2">
      <c r="A21" s="7" t="str">
        <f ca="1">IF(AUTOEVENTO="Manual",IF(OFFSET(EVENTOS!$F$14,PLE!$B21,0)&gt;0,"F",""),IF(PLE!B21&lt;=MAX(CÁLCULO!$M$15:$M$27),"F",""))</f>
        <v/>
      </c>
      <c r="B21" s="248">
        <f t="shared" ca="1" si="1"/>
        <v>6</v>
      </c>
      <c r="C21" s="784">
        <f ca="1">IF(AUTOEVENTO="Manual",OFFSET(EVENTOS!$D$15,$B21-$B$15,0),IF(B21&lt;=MAX(CÁLCULO!$M$15:$M$27),VLOOKUP($B21,CÁLCULO!$M$15:$N$27,2,FALSE),0))</f>
        <v>0</v>
      </c>
      <c r="D21" s="784"/>
      <c r="F21" s="249"/>
      <c r="H21" s="249"/>
      <c r="I21" s="249"/>
      <c r="J21" s="249"/>
      <c r="K21" s="249"/>
      <c r="L21" s="249"/>
      <c r="M21" s="249"/>
      <c r="N21" s="249"/>
      <c r="O21" s="249"/>
      <c r="P21" s="249"/>
      <c r="Q21" s="249"/>
      <c r="R21" s="249"/>
      <c r="S21" s="249"/>
      <c r="T21" s="249"/>
      <c r="U21" s="249"/>
      <c r="V21" s="249"/>
      <c r="W21" s="249"/>
      <c r="X21" s="249"/>
      <c r="Y21" s="249"/>
      <c r="Z21" s="249"/>
      <c r="AA21" s="249"/>
      <c r="AB21" s="249"/>
      <c r="AC21" s="249"/>
      <c r="AD21" s="249"/>
      <c r="AE21" s="249"/>
      <c r="AF21" s="249"/>
    </row>
    <row r="22" spans="1:32" x14ac:dyDescent="0.2">
      <c r="A22" s="7" t="str">
        <f ca="1">IF(AUTOEVENTO="Manual",IF(OFFSET(EVENTOS!$F$14,PLE!$B22,0)&gt;0,"F",""),IF(PLE!B22&lt;=MAX(CÁLCULO!$M$15:$M$27),"F",""))</f>
        <v/>
      </c>
      <c r="B22" s="248">
        <f t="shared" ca="1" si="1"/>
        <v>7</v>
      </c>
      <c r="C22" s="784">
        <f ca="1">IF(AUTOEVENTO="Manual",OFFSET(EVENTOS!$D$15,$B22-$B$15,0),IF(B22&lt;=MAX(CÁLCULO!$M$15:$M$27),VLOOKUP($B22,CÁLCULO!$M$15:$N$27,2,FALSE),0))</f>
        <v>0</v>
      </c>
      <c r="D22" s="784"/>
      <c r="F22" s="249"/>
      <c r="H22" s="249"/>
      <c r="I22" s="249"/>
      <c r="J22" s="249"/>
      <c r="K22" s="249"/>
      <c r="L22" s="249"/>
      <c r="M22" s="249"/>
      <c r="N22" s="249"/>
      <c r="O22" s="249"/>
      <c r="P22" s="249"/>
      <c r="Q22" s="249"/>
      <c r="R22" s="249"/>
      <c r="S22" s="249"/>
      <c r="T22" s="249"/>
      <c r="U22" s="249"/>
      <c r="V22" s="249"/>
      <c r="W22" s="249"/>
      <c r="X22" s="249"/>
      <c r="Y22" s="249"/>
      <c r="Z22" s="249"/>
      <c r="AA22" s="249"/>
      <c r="AB22" s="249"/>
      <c r="AC22" s="249"/>
      <c r="AD22" s="249"/>
      <c r="AE22" s="249"/>
      <c r="AF22" s="249"/>
    </row>
    <row r="23" spans="1:32" x14ac:dyDescent="0.2">
      <c r="A23" s="7" t="str">
        <f ca="1">IF(AUTOEVENTO="Manual",IF(OFFSET(EVENTOS!$F$14,PLE!$B23,0)&gt;0,"F",""),IF(PLE!B23&lt;=MAX(CÁLCULO!$M$15:$M$27),"F",""))</f>
        <v/>
      </c>
      <c r="B23" s="248">
        <f t="shared" ca="1" si="1"/>
        <v>8</v>
      </c>
      <c r="C23" s="784">
        <f ca="1">IF(AUTOEVENTO="Manual",OFFSET(EVENTOS!$D$15,$B23-$B$15,0),IF(B23&lt;=MAX(CÁLCULO!$M$15:$M$27),VLOOKUP($B23,CÁLCULO!$M$15:$N$27,2,FALSE),0))</f>
        <v>0</v>
      </c>
      <c r="D23" s="784"/>
      <c r="F23" s="249"/>
      <c r="H23" s="249"/>
      <c r="I23" s="249"/>
      <c r="J23" s="249"/>
      <c r="K23" s="249"/>
      <c r="L23" s="249"/>
      <c r="M23" s="249"/>
      <c r="N23" s="249"/>
      <c r="O23" s="249"/>
      <c r="P23" s="249"/>
      <c r="Q23" s="249"/>
      <c r="R23" s="249"/>
      <c r="S23" s="249"/>
      <c r="T23" s="249"/>
      <c r="U23" s="249"/>
      <c r="V23" s="249"/>
      <c r="W23" s="249"/>
      <c r="X23" s="249"/>
      <c r="Y23" s="249"/>
      <c r="Z23" s="249"/>
      <c r="AA23" s="249"/>
      <c r="AB23" s="249"/>
      <c r="AC23" s="249"/>
      <c r="AD23" s="249"/>
      <c r="AE23" s="249"/>
      <c r="AF23" s="249"/>
    </row>
    <row r="24" spans="1:32" x14ac:dyDescent="0.2">
      <c r="A24" s="7" t="str">
        <f ca="1">IF(AUTOEVENTO="Manual",IF(OFFSET(EVENTOS!$F$14,PLE!$B24,0)&gt;0,"F",""),IF(PLE!B24&lt;=MAX(CÁLCULO!$M$15:$M$27),"F",""))</f>
        <v/>
      </c>
      <c r="B24" s="248">
        <f t="shared" ca="1" si="1"/>
        <v>9</v>
      </c>
      <c r="C24" s="784">
        <f ca="1">IF(AUTOEVENTO="Manual",OFFSET(EVENTOS!$D$15,$B24-$B$15,0),IF(B24&lt;=MAX(CÁLCULO!$M$15:$M$27),VLOOKUP($B24,CÁLCULO!$M$15:$N$27,2,FALSE),0))</f>
        <v>0</v>
      </c>
      <c r="D24" s="784"/>
      <c r="F24" s="249"/>
      <c r="H24" s="249"/>
      <c r="I24" s="249"/>
      <c r="J24" s="249"/>
      <c r="K24" s="249"/>
      <c r="L24" s="249"/>
      <c r="M24" s="249"/>
      <c r="N24" s="249"/>
      <c r="O24" s="249"/>
      <c r="P24" s="249"/>
      <c r="Q24" s="249"/>
      <c r="R24" s="249"/>
      <c r="S24" s="249"/>
      <c r="T24" s="249"/>
      <c r="U24" s="249"/>
      <c r="V24" s="249"/>
      <c r="W24" s="249"/>
      <c r="X24" s="249"/>
      <c r="Y24" s="249"/>
      <c r="Z24" s="249"/>
      <c r="AA24" s="249"/>
      <c r="AB24" s="249"/>
      <c r="AC24" s="249"/>
      <c r="AD24" s="249"/>
      <c r="AE24" s="249"/>
      <c r="AF24" s="249"/>
    </row>
    <row r="25" spans="1:32" x14ac:dyDescent="0.2">
      <c r="A25" s="7" t="str">
        <f ca="1">IF(AUTOEVENTO="Manual",IF(OFFSET(EVENTOS!$F$14,PLE!$B25,0)&gt;0,"F",""),IF(PLE!B25&lt;=MAX(CÁLCULO!$M$15:$M$27),"F",""))</f>
        <v/>
      </c>
      <c r="B25" s="248">
        <f t="shared" ca="1" si="1"/>
        <v>10</v>
      </c>
      <c r="C25" s="784">
        <f ca="1">IF(AUTOEVENTO="Manual",OFFSET(EVENTOS!$D$15,$B25-$B$15,0),IF(B25&lt;=MAX(CÁLCULO!$M$15:$M$27),VLOOKUP($B25,CÁLCULO!$M$15:$N$27,2,FALSE),0))</f>
        <v>0</v>
      </c>
      <c r="D25" s="784"/>
      <c r="F25" s="249"/>
      <c r="H25" s="249"/>
      <c r="I25" s="249"/>
      <c r="J25" s="249"/>
      <c r="K25" s="249"/>
      <c r="L25" s="249"/>
      <c r="M25" s="249"/>
      <c r="N25" s="249"/>
      <c r="O25" s="249"/>
      <c r="P25" s="249"/>
      <c r="Q25" s="249"/>
      <c r="R25" s="249"/>
      <c r="S25" s="249"/>
      <c r="T25" s="249"/>
      <c r="U25" s="249"/>
      <c r="V25" s="249"/>
      <c r="W25" s="249"/>
      <c r="X25" s="249"/>
      <c r="Y25" s="249"/>
      <c r="Z25" s="249"/>
      <c r="AA25" s="249"/>
      <c r="AB25" s="249"/>
      <c r="AC25" s="249"/>
      <c r="AD25" s="249"/>
      <c r="AE25" s="249"/>
      <c r="AF25" s="249"/>
    </row>
    <row r="26" spans="1:32" x14ac:dyDescent="0.2">
      <c r="A26" s="7" t="str">
        <f ca="1">IF(AUTOEVENTO="Manual",IF(OFFSET(EVENTOS!$F$14,PLE!$B26,0)&gt;0,"F",""),IF(PLE!B26&lt;=MAX(CÁLCULO!$M$15:$M$27),"F",""))</f>
        <v/>
      </c>
      <c r="B26" s="248">
        <f t="shared" ca="1" si="1"/>
        <v>11</v>
      </c>
      <c r="C26" s="784">
        <f ca="1">IF(AUTOEVENTO="Manual",OFFSET(EVENTOS!$D$15,$B26-$B$15,0),IF(B26&lt;=MAX(CÁLCULO!$M$15:$M$27),VLOOKUP($B26,CÁLCULO!$M$15:$N$27,2,FALSE),0))</f>
        <v>0</v>
      </c>
      <c r="D26" s="784"/>
      <c r="F26" s="249"/>
      <c r="H26" s="249"/>
      <c r="I26" s="249"/>
      <c r="J26" s="249"/>
      <c r="K26" s="249"/>
      <c r="L26" s="249"/>
      <c r="M26" s="249"/>
      <c r="N26" s="249"/>
      <c r="O26" s="249"/>
      <c r="P26" s="249"/>
      <c r="Q26" s="249"/>
      <c r="R26" s="249"/>
      <c r="S26" s="249"/>
      <c r="T26" s="249"/>
      <c r="U26" s="249"/>
      <c r="V26" s="249"/>
      <c r="W26" s="249"/>
      <c r="X26" s="249"/>
      <c r="Y26" s="249"/>
      <c r="Z26" s="249"/>
      <c r="AA26" s="249"/>
      <c r="AB26" s="249"/>
      <c r="AC26" s="249"/>
      <c r="AD26" s="249"/>
      <c r="AE26" s="249"/>
      <c r="AF26" s="249"/>
    </row>
    <row r="27" spans="1:32" x14ac:dyDescent="0.2">
      <c r="A27" s="7" t="str">
        <f ca="1">IF(AUTOEVENTO="Manual",IF(OFFSET(EVENTOS!$F$14,PLE!$B27,0)&gt;0,"F",""),IF(PLE!B27&lt;=MAX(CÁLCULO!$M$15:$M$27),"F",""))</f>
        <v/>
      </c>
      <c r="B27" s="248">
        <f t="shared" ca="1" si="1"/>
        <v>12</v>
      </c>
      <c r="C27" s="784">
        <f ca="1">IF(AUTOEVENTO="Manual",OFFSET(EVENTOS!$D$15,$B27-$B$15,0),IF(B27&lt;=MAX(CÁLCULO!$M$15:$M$27),VLOOKUP($B27,CÁLCULO!$M$15:$N$27,2,FALSE),0))</f>
        <v>0</v>
      </c>
      <c r="D27" s="784"/>
      <c r="F27" s="249"/>
      <c r="H27" s="249"/>
      <c r="I27" s="249"/>
      <c r="J27" s="249"/>
      <c r="K27" s="249"/>
      <c r="L27" s="249"/>
      <c r="M27" s="249"/>
      <c r="N27" s="249"/>
      <c r="O27" s="249"/>
      <c r="P27" s="249"/>
      <c r="Q27" s="249"/>
      <c r="R27" s="249"/>
      <c r="S27" s="249"/>
      <c r="T27" s="249"/>
      <c r="U27" s="249"/>
      <c r="V27" s="249"/>
      <c r="W27" s="249"/>
      <c r="X27" s="249"/>
      <c r="Y27" s="249"/>
      <c r="Z27" s="249"/>
      <c r="AA27" s="249"/>
      <c r="AB27" s="249"/>
      <c r="AC27" s="249"/>
      <c r="AD27" s="249"/>
      <c r="AE27" s="249"/>
      <c r="AF27" s="249"/>
    </row>
    <row r="28" spans="1:32" x14ac:dyDescent="0.2">
      <c r="A28" s="7" t="str">
        <f ca="1">IF(AUTOEVENTO="Manual",IF(OFFSET(EVENTOS!$F$14,PLE!$B28,0)&gt;0,"F",""),IF(PLE!B28&lt;=MAX(CÁLCULO!$M$15:$M$27),"F",""))</f>
        <v/>
      </c>
      <c r="B28" s="248">
        <f t="shared" ca="1" si="1"/>
        <v>13</v>
      </c>
      <c r="C28" s="784">
        <f ca="1">IF(AUTOEVENTO="Manual",OFFSET(EVENTOS!$D$15,$B28-$B$15,0),IF(B28&lt;=MAX(CÁLCULO!$M$15:$M$27),VLOOKUP($B28,CÁLCULO!$M$15:$N$27,2,FALSE),0))</f>
        <v>0</v>
      </c>
      <c r="D28" s="784"/>
      <c r="F28" s="249"/>
      <c r="H28" s="249"/>
      <c r="I28" s="249"/>
      <c r="J28" s="249"/>
      <c r="K28" s="249"/>
      <c r="L28" s="249"/>
      <c r="M28" s="249"/>
      <c r="N28" s="249"/>
      <c r="O28" s="249"/>
      <c r="P28" s="249"/>
      <c r="Q28" s="249"/>
      <c r="R28" s="249"/>
      <c r="S28" s="249"/>
      <c r="T28" s="249"/>
      <c r="U28" s="249"/>
      <c r="V28" s="249"/>
      <c r="W28" s="249"/>
      <c r="X28" s="249"/>
      <c r="Y28" s="249"/>
      <c r="Z28" s="249"/>
      <c r="AA28" s="249"/>
      <c r="AB28" s="249"/>
      <c r="AC28" s="249"/>
      <c r="AD28" s="249"/>
      <c r="AE28" s="249"/>
      <c r="AF28" s="249"/>
    </row>
    <row r="29" spans="1:32" x14ac:dyDescent="0.2">
      <c r="A29" s="7" t="str">
        <f ca="1">IF(AUTOEVENTO="Manual",IF(OFFSET(EVENTOS!$F$14,PLE!$B29,0)&gt;0,"F",""),IF(PLE!B29&lt;=MAX(CÁLCULO!$M$15:$M$27),"F",""))</f>
        <v/>
      </c>
      <c r="B29" s="248">
        <f t="shared" ca="1" si="1"/>
        <v>14</v>
      </c>
      <c r="C29" s="784">
        <f ca="1">IF(AUTOEVENTO="Manual",OFFSET(EVENTOS!$D$15,$B29-$B$15,0),IF(B29&lt;=MAX(CÁLCULO!$M$15:$M$27),VLOOKUP($B29,CÁLCULO!$M$15:$N$27,2,FALSE),0))</f>
        <v>0</v>
      </c>
      <c r="D29" s="784"/>
      <c r="F29" s="249"/>
      <c r="H29" s="249"/>
      <c r="I29" s="249"/>
      <c r="J29" s="249"/>
      <c r="K29" s="249"/>
      <c r="L29" s="249"/>
      <c r="M29" s="249"/>
      <c r="N29" s="249"/>
      <c r="O29" s="249"/>
      <c r="P29" s="249"/>
      <c r="Q29" s="249"/>
      <c r="R29" s="249"/>
      <c r="S29" s="249"/>
      <c r="T29" s="249"/>
      <c r="U29" s="249"/>
      <c r="V29" s="249"/>
      <c r="W29" s="249"/>
      <c r="X29" s="249"/>
      <c r="Y29" s="249"/>
      <c r="Z29" s="249"/>
      <c r="AA29" s="249"/>
      <c r="AB29" s="249"/>
      <c r="AC29" s="249"/>
      <c r="AD29" s="249"/>
      <c r="AE29" s="249"/>
      <c r="AF29" s="249"/>
    </row>
    <row r="30" spans="1:32" x14ac:dyDescent="0.2">
      <c r="A30" s="7" t="str">
        <f ca="1">IF(AUTOEVENTO="Manual",IF(OFFSET(EVENTOS!$F$14,PLE!$B30,0)&gt;0,"F",""),IF(PLE!B30&lt;=MAX(CÁLCULO!$M$15:$M$27),"F",""))</f>
        <v/>
      </c>
      <c r="B30" s="248">
        <f t="shared" ca="1" si="1"/>
        <v>15</v>
      </c>
      <c r="C30" s="784">
        <f ca="1">IF(AUTOEVENTO="Manual",OFFSET(EVENTOS!$D$15,$B30-$B$15,0),IF(B30&lt;=MAX(CÁLCULO!$M$15:$M$27),VLOOKUP($B30,CÁLCULO!$M$15:$N$27,2,FALSE),0))</f>
        <v>0</v>
      </c>
      <c r="D30" s="784"/>
      <c r="F30" s="249"/>
      <c r="H30" s="249"/>
      <c r="I30" s="249"/>
      <c r="J30" s="249"/>
      <c r="K30" s="249"/>
      <c r="L30" s="249"/>
      <c r="M30" s="249"/>
      <c r="N30" s="249"/>
      <c r="O30" s="249"/>
      <c r="P30" s="249"/>
      <c r="Q30" s="249"/>
      <c r="R30" s="249"/>
      <c r="S30" s="249"/>
      <c r="T30" s="249"/>
      <c r="U30" s="249"/>
      <c r="V30" s="249"/>
      <c r="W30" s="249"/>
      <c r="X30" s="249"/>
      <c r="Y30" s="249"/>
      <c r="Z30" s="249"/>
      <c r="AA30" s="249"/>
      <c r="AB30" s="249"/>
      <c r="AC30" s="249"/>
      <c r="AD30" s="249"/>
      <c r="AE30" s="249"/>
      <c r="AF30" s="249"/>
    </row>
    <row r="31" spans="1:32" x14ac:dyDescent="0.2">
      <c r="A31" s="7" t="str">
        <f ca="1">IF(AUTOEVENTO="Manual",IF(OFFSET(EVENTOS!$F$14,PLE!$B31,0)&gt;0,"F",""),IF(PLE!B31&lt;=MAX(CÁLCULO!$M$15:$M$27),"F",""))</f>
        <v/>
      </c>
      <c r="B31" s="248">
        <f t="shared" ca="1" si="1"/>
        <v>16</v>
      </c>
      <c r="C31" s="784">
        <f ca="1">IF(AUTOEVENTO="Manual",OFFSET(EVENTOS!$D$15,$B31-$B$15,0),IF(B31&lt;=MAX(CÁLCULO!$M$15:$M$27),VLOOKUP($B31,CÁLCULO!$M$15:$N$27,2,FALSE),0))</f>
        <v>0</v>
      </c>
      <c r="D31" s="784"/>
      <c r="F31" s="249"/>
      <c r="H31" s="249"/>
      <c r="I31" s="249"/>
      <c r="J31" s="249"/>
      <c r="K31" s="249"/>
      <c r="L31" s="249"/>
      <c r="M31" s="249"/>
      <c r="N31" s="249"/>
      <c r="O31" s="249"/>
      <c r="P31" s="249"/>
      <c r="Q31" s="249"/>
      <c r="R31" s="249"/>
      <c r="S31" s="249"/>
      <c r="T31" s="249"/>
      <c r="U31" s="249"/>
      <c r="V31" s="249"/>
      <c r="W31" s="249"/>
      <c r="X31" s="249"/>
      <c r="Y31" s="249"/>
      <c r="Z31" s="249"/>
      <c r="AA31" s="249"/>
      <c r="AB31" s="249"/>
      <c r="AC31" s="249"/>
      <c r="AD31" s="249"/>
      <c r="AE31" s="249"/>
      <c r="AF31" s="249"/>
    </row>
    <row r="32" spans="1:32" x14ac:dyDescent="0.2">
      <c r="A32" s="7" t="str">
        <f ca="1">IF(AUTOEVENTO="Manual",IF(OFFSET(EVENTOS!$F$14,PLE!$B32,0)&gt;0,"F",""),IF(PLE!B32&lt;=MAX(CÁLCULO!$M$15:$M$27),"F",""))</f>
        <v/>
      </c>
      <c r="B32" s="248">
        <f t="shared" ca="1" si="1"/>
        <v>17</v>
      </c>
      <c r="C32" s="784">
        <f ca="1">IF(AUTOEVENTO="Manual",OFFSET(EVENTOS!$D$15,$B32-$B$15,0),IF(B32&lt;=MAX(CÁLCULO!$M$15:$M$27),VLOOKUP($B32,CÁLCULO!$M$15:$N$27,2,FALSE),0))</f>
        <v>0</v>
      </c>
      <c r="D32" s="784"/>
      <c r="F32" s="249"/>
      <c r="H32" s="249"/>
      <c r="I32" s="249"/>
      <c r="J32" s="249"/>
      <c r="K32" s="249"/>
      <c r="L32" s="249"/>
      <c r="M32" s="249"/>
      <c r="N32" s="249"/>
      <c r="O32" s="249"/>
      <c r="P32" s="249"/>
      <c r="Q32" s="249"/>
      <c r="R32" s="249"/>
      <c r="S32" s="249"/>
      <c r="T32" s="249"/>
      <c r="U32" s="249"/>
      <c r="V32" s="249"/>
      <c r="W32" s="249"/>
      <c r="X32" s="249"/>
      <c r="Y32" s="249"/>
      <c r="Z32" s="249"/>
      <c r="AA32" s="249"/>
      <c r="AB32" s="249"/>
      <c r="AC32" s="249"/>
      <c r="AD32" s="249"/>
      <c r="AE32" s="249"/>
      <c r="AF32" s="249"/>
    </row>
    <row r="33" spans="1:32" x14ac:dyDescent="0.2">
      <c r="A33" s="7" t="str">
        <f ca="1">IF(AUTOEVENTO="Manual",IF(OFFSET(EVENTOS!$F$14,PLE!$B33,0)&gt;0,"F",""),IF(PLE!B33&lt;=MAX(CÁLCULO!$M$15:$M$27),"F",""))</f>
        <v/>
      </c>
      <c r="B33" s="248">
        <f t="shared" ca="1" si="1"/>
        <v>18</v>
      </c>
      <c r="C33" s="784">
        <f ca="1">IF(AUTOEVENTO="Manual",OFFSET(EVENTOS!$D$15,$B33-$B$15,0),IF(B33&lt;=MAX(CÁLCULO!$M$15:$M$27),VLOOKUP($B33,CÁLCULO!$M$15:$N$27,2,FALSE),0))</f>
        <v>0</v>
      </c>
      <c r="D33" s="784"/>
      <c r="F33" s="249"/>
      <c r="H33" s="249"/>
      <c r="I33" s="249"/>
      <c r="J33" s="249"/>
      <c r="K33" s="249"/>
      <c r="L33" s="249"/>
      <c r="M33" s="249"/>
      <c r="N33" s="249"/>
      <c r="O33" s="249"/>
      <c r="P33" s="249"/>
      <c r="Q33" s="249"/>
      <c r="R33" s="249"/>
      <c r="S33" s="249"/>
      <c r="T33" s="249"/>
      <c r="U33" s="249"/>
      <c r="V33" s="249"/>
      <c r="W33" s="249"/>
      <c r="X33" s="249"/>
      <c r="Y33" s="249"/>
      <c r="Z33" s="249"/>
      <c r="AA33" s="249"/>
      <c r="AB33" s="249"/>
      <c r="AC33" s="249"/>
      <c r="AD33" s="249"/>
      <c r="AE33" s="249"/>
      <c r="AF33" s="249"/>
    </row>
    <row r="34" spans="1:32" x14ac:dyDescent="0.2">
      <c r="A34" s="7" t="str">
        <f ca="1">IF(AUTOEVENTO="Manual",IF(OFFSET(EVENTOS!$F$14,PLE!$B34,0)&gt;0,"F",""),IF(PLE!B34&lt;=MAX(CÁLCULO!$M$15:$M$27),"F",""))</f>
        <v/>
      </c>
      <c r="B34" s="248">
        <f t="shared" ca="1" si="1"/>
        <v>19</v>
      </c>
      <c r="C34" s="784">
        <f ca="1">IF(AUTOEVENTO="Manual",OFFSET(EVENTOS!$D$15,$B34-$B$15,0),IF(B34&lt;=MAX(CÁLCULO!$M$15:$M$27),VLOOKUP($B34,CÁLCULO!$M$15:$N$27,2,FALSE),0))</f>
        <v>0</v>
      </c>
      <c r="D34" s="784"/>
      <c r="F34" s="249"/>
      <c r="H34" s="249"/>
      <c r="I34" s="249"/>
      <c r="J34" s="249"/>
      <c r="K34" s="249"/>
      <c r="L34" s="249"/>
      <c r="M34" s="249"/>
      <c r="N34" s="249"/>
      <c r="O34" s="249"/>
      <c r="P34" s="249"/>
      <c r="Q34" s="249"/>
      <c r="R34" s="249"/>
      <c r="S34" s="249"/>
      <c r="T34" s="249"/>
      <c r="U34" s="249"/>
      <c r="V34" s="249"/>
      <c r="W34" s="249"/>
      <c r="X34" s="249"/>
      <c r="Y34" s="249"/>
      <c r="Z34" s="249"/>
      <c r="AA34" s="249"/>
      <c r="AB34" s="249"/>
      <c r="AC34" s="249"/>
      <c r="AD34" s="249"/>
      <c r="AE34" s="249"/>
      <c r="AF34" s="249"/>
    </row>
    <row r="35" spans="1:32" x14ac:dyDescent="0.2">
      <c r="A35" s="7" t="str">
        <f ca="1">IF(AUTOEVENTO="Manual",IF(OFFSET(EVENTOS!$F$14,PLE!$B35,0)&gt;0,"F",""),IF(PLE!B35&lt;=MAX(CÁLCULO!$M$15:$M$27),"F",""))</f>
        <v/>
      </c>
      <c r="B35" s="248">
        <f t="shared" ca="1" si="1"/>
        <v>20</v>
      </c>
      <c r="C35" s="784">
        <f ca="1">IF(AUTOEVENTO="Manual",OFFSET(EVENTOS!$D$15,$B35-$B$15,0),IF(B35&lt;=MAX(CÁLCULO!$M$15:$M$27),VLOOKUP($B35,CÁLCULO!$M$15:$N$27,2,FALSE),0))</f>
        <v>0</v>
      </c>
      <c r="D35" s="784"/>
      <c r="F35" s="249"/>
      <c r="H35" s="249"/>
      <c r="I35" s="249"/>
      <c r="J35" s="249"/>
      <c r="K35" s="249"/>
      <c r="L35" s="249"/>
      <c r="M35" s="249"/>
      <c r="N35" s="249"/>
      <c r="O35" s="249"/>
      <c r="P35" s="249"/>
      <c r="Q35" s="249"/>
      <c r="R35" s="249"/>
      <c r="S35" s="249"/>
      <c r="T35" s="249"/>
      <c r="U35" s="249"/>
      <c r="V35" s="249"/>
      <c r="W35" s="249"/>
      <c r="X35" s="249"/>
      <c r="Y35" s="249"/>
      <c r="Z35" s="249"/>
      <c r="AA35" s="249"/>
      <c r="AB35" s="249"/>
      <c r="AC35" s="249"/>
      <c r="AD35" s="249"/>
      <c r="AE35" s="249"/>
      <c r="AF35" s="249"/>
    </row>
    <row r="36" spans="1:32" x14ac:dyDescent="0.2">
      <c r="A36" s="7" t="str">
        <f ca="1">IF(AUTOEVENTO="Manual",IF(OFFSET(EVENTOS!$F$14,PLE!$B36,0)&gt;0,"F",""),IF(PLE!B36&lt;=MAX(CÁLCULO!$M$15:$M$27),"F",""))</f>
        <v/>
      </c>
      <c r="B36" s="248">
        <f t="shared" ca="1" si="1"/>
        <v>21</v>
      </c>
      <c r="C36" s="784">
        <f ca="1">IF(AUTOEVENTO="Manual",OFFSET(EVENTOS!$D$15,$B36-$B$15,0),IF(B36&lt;=MAX(CÁLCULO!$M$15:$M$27),VLOOKUP($B36,CÁLCULO!$M$15:$N$27,2,FALSE),0))</f>
        <v>0</v>
      </c>
      <c r="D36" s="784"/>
      <c r="F36" s="249"/>
      <c r="H36" s="249"/>
      <c r="I36" s="249"/>
      <c r="J36" s="249"/>
      <c r="K36" s="249"/>
      <c r="L36" s="249"/>
      <c r="M36" s="249"/>
      <c r="N36" s="249"/>
      <c r="O36" s="249"/>
      <c r="P36" s="249"/>
      <c r="Q36" s="249"/>
      <c r="R36" s="249"/>
      <c r="S36" s="249"/>
      <c r="T36" s="249"/>
      <c r="U36" s="249"/>
      <c r="V36" s="249"/>
      <c r="W36" s="249"/>
      <c r="X36" s="249"/>
      <c r="Y36" s="249"/>
      <c r="Z36" s="249"/>
      <c r="AA36" s="249"/>
      <c r="AB36" s="249"/>
      <c r="AC36" s="249"/>
      <c r="AD36" s="249"/>
      <c r="AE36" s="249"/>
      <c r="AF36" s="249"/>
    </row>
    <row r="37" spans="1:32" x14ac:dyDescent="0.2">
      <c r="A37" s="7" t="str">
        <f ca="1">IF(AUTOEVENTO="Manual",IF(OFFSET(EVENTOS!$F$14,PLE!$B37,0)&gt;0,"F",""),IF(PLE!B37&lt;=MAX(CÁLCULO!$M$15:$M$27),"F",""))</f>
        <v/>
      </c>
      <c r="B37" s="248">
        <f t="shared" ca="1" si="1"/>
        <v>22</v>
      </c>
      <c r="C37" s="784">
        <f ca="1">IF(AUTOEVENTO="Manual",OFFSET(EVENTOS!$D$15,$B37-$B$15,0),IF(B37&lt;=MAX(CÁLCULO!$M$15:$M$27),VLOOKUP($B37,CÁLCULO!$M$15:$N$27,2,FALSE),0))</f>
        <v>0</v>
      </c>
      <c r="D37" s="784"/>
      <c r="F37" s="249"/>
      <c r="H37" s="249"/>
      <c r="I37" s="249"/>
      <c r="J37" s="249"/>
      <c r="K37" s="249"/>
      <c r="L37" s="249"/>
      <c r="M37" s="249"/>
      <c r="N37" s="249"/>
      <c r="O37" s="249"/>
      <c r="P37" s="249"/>
      <c r="Q37" s="249"/>
      <c r="R37" s="249"/>
      <c r="S37" s="249"/>
      <c r="T37" s="249"/>
      <c r="U37" s="249"/>
      <c r="V37" s="249"/>
      <c r="W37" s="249"/>
      <c r="X37" s="249"/>
      <c r="Y37" s="249"/>
      <c r="Z37" s="249"/>
      <c r="AA37" s="249"/>
      <c r="AB37" s="249"/>
      <c r="AC37" s="249"/>
      <c r="AD37" s="249"/>
      <c r="AE37" s="249"/>
      <c r="AF37" s="249"/>
    </row>
    <row r="38" spans="1:32" x14ac:dyDescent="0.2">
      <c r="A38" s="7" t="str">
        <f ca="1">IF(AUTOEVENTO="Manual",IF(OFFSET(EVENTOS!$F$14,PLE!$B38,0)&gt;0,"F",""),IF(PLE!B38&lt;=MAX(CÁLCULO!$M$15:$M$27),"F",""))</f>
        <v/>
      </c>
      <c r="B38" s="248">
        <f t="shared" ca="1" si="1"/>
        <v>23</v>
      </c>
      <c r="C38" s="784">
        <f ca="1">IF(AUTOEVENTO="Manual",OFFSET(EVENTOS!$D$15,$B38-$B$15,0),IF(B38&lt;=MAX(CÁLCULO!$M$15:$M$27),VLOOKUP($B38,CÁLCULO!$M$15:$N$27,2,FALSE),0))</f>
        <v>0</v>
      </c>
      <c r="D38" s="784"/>
      <c r="F38" s="249"/>
      <c r="H38" s="249"/>
      <c r="I38" s="249"/>
      <c r="J38" s="249"/>
      <c r="K38" s="249"/>
      <c r="L38" s="249"/>
      <c r="M38" s="249"/>
      <c r="N38" s="249"/>
      <c r="O38" s="249"/>
      <c r="P38" s="249"/>
      <c r="Q38" s="249"/>
      <c r="R38" s="249"/>
      <c r="S38" s="249"/>
      <c r="T38" s="249"/>
      <c r="U38" s="249"/>
      <c r="V38" s="249"/>
      <c r="W38" s="249"/>
      <c r="X38" s="249"/>
      <c r="Y38" s="249"/>
      <c r="Z38" s="249"/>
      <c r="AA38" s="249"/>
      <c r="AB38" s="249"/>
      <c r="AC38" s="249"/>
      <c r="AD38" s="249"/>
      <c r="AE38" s="249"/>
      <c r="AF38" s="249"/>
    </row>
    <row r="39" spans="1:32" x14ac:dyDescent="0.2">
      <c r="A39" s="7" t="str">
        <f ca="1">IF(AUTOEVENTO="Manual",IF(OFFSET(EVENTOS!$F$14,PLE!$B39,0)&gt;0,"F",""),IF(PLE!B39&lt;=MAX(CÁLCULO!$M$15:$M$27),"F",""))</f>
        <v/>
      </c>
      <c r="B39" s="248">
        <f t="shared" ca="1" si="1"/>
        <v>24</v>
      </c>
      <c r="C39" s="784">
        <f ca="1">IF(AUTOEVENTO="Manual",OFFSET(EVENTOS!$D$15,$B39-$B$15,0),IF(B39&lt;=MAX(CÁLCULO!$M$15:$M$27),VLOOKUP($B39,CÁLCULO!$M$15:$N$27,2,FALSE),0))</f>
        <v>0</v>
      </c>
      <c r="D39" s="784"/>
      <c r="F39" s="249"/>
      <c r="H39" s="249"/>
      <c r="I39" s="249"/>
      <c r="J39" s="249"/>
      <c r="K39" s="249"/>
      <c r="L39" s="249"/>
      <c r="M39" s="249"/>
      <c r="N39" s="249"/>
      <c r="O39" s="249"/>
      <c r="P39" s="249"/>
      <c r="Q39" s="249"/>
      <c r="R39" s="249"/>
      <c r="S39" s="249"/>
      <c r="T39" s="249"/>
      <c r="U39" s="249"/>
      <c r="V39" s="249"/>
      <c r="W39" s="249"/>
      <c r="X39" s="249"/>
      <c r="Y39" s="249"/>
      <c r="Z39" s="249"/>
      <c r="AA39" s="249"/>
      <c r="AB39" s="249"/>
      <c r="AC39" s="249"/>
      <c r="AD39" s="249"/>
      <c r="AE39" s="249"/>
      <c r="AF39" s="249"/>
    </row>
    <row r="40" spans="1:32" x14ac:dyDescent="0.2">
      <c r="A40" s="7" t="str">
        <f ca="1">IF(AUTOEVENTO="Manual",IF(OFFSET(EVENTOS!$F$14,PLE!$B40,0)&gt;0,"F",""),IF(PLE!B40&lt;=MAX(CÁLCULO!$M$15:$M$27),"F",""))</f>
        <v/>
      </c>
      <c r="B40" s="248">
        <f t="shared" ca="1" si="1"/>
        <v>25</v>
      </c>
      <c r="C40" s="784">
        <f ca="1">IF(AUTOEVENTO="Manual",OFFSET(EVENTOS!$D$15,$B40-$B$15,0),IF(B40&lt;=MAX(CÁLCULO!$M$15:$M$27),VLOOKUP($B40,CÁLCULO!$M$15:$N$27,2,FALSE),0))</f>
        <v>0</v>
      </c>
      <c r="D40" s="784"/>
      <c r="F40" s="249"/>
      <c r="H40" s="249"/>
      <c r="I40" s="249"/>
      <c r="J40" s="249"/>
      <c r="K40" s="249"/>
      <c r="L40" s="249"/>
      <c r="M40" s="249"/>
      <c r="N40" s="249"/>
      <c r="O40" s="249"/>
      <c r="P40" s="249"/>
      <c r="Q40" s="249"/>
      <c r="R40" s="249"/>
      <c r="S40" s="249"/>
      <c r="T40" s="249"/>
      <c r="U40" s="249"/>
      <c r="V40" s="249"/>
      <c r="W40" s="249"/>
      <c r="X40" s="249"/>
      <c r="Y40" s="249"/>
      <c r="Z40" s="249"/>
      <c r="AA40" s="249"/>
      <c r="AB40" s="249"/>
      <c r="AC40" s="249"/>
      <c r="AD40" s="249"/>
      <c r="AE40" s="249"/>
      <c r="AF40" s="249"/>
    </row>
    <row r="41" spans="1:32" x14ac:dyDescent="0.2">
      <c r="A41" s="7" t="str">
        <f ca="1">IF(AUTOEVENTO="Manual",IF(OFFSET(EVENTOS!$F$14,PLE!$B41,0)&gt;0,"F",""),IF(PLE!B41&lt;=MAX(CÁLCULO!$M$15:$M$27),"F",""))</f>
        <v/>
      </c>
      <c r="B41" s="248">
        <f t="shared" ca="1" si="1"/>
        <v>26</v>
      </c>
      <c r="C41" s="784">
        <f ca="1">IF(AUTOEVENTO="Manual",OFFSET(EVENTOS!$D$15,$B41-$B$15,0),IF(B41&lt;=MAX(CÁLCULO!$M$15:$M$27),VLOOKUP($B41,CÁLCULO!$M$15:$N$27,2,FALSE),0))</f>
        <v>0</v>
      </c>
      <c r="D41" s="784"/>
      <c r="F41" s="249"/>
      <c r="H41" s="249"/>
      <c r="I41" s="249"/>
      <c r="J41" s="249"/>
      <c r="K41" s="249"/>
      <c r="L41" s="249"/>
      <c r="M41" s="249"/>
      <c r="N41" s="249"/>
      <c r="O41" s="249"/>
      <c r="P41" s="249"/>
      <c r="Q41" s="249"/>
      <c r="R41" s="249"/>
      <c r="S41" s="249"/>
      <c r="T41" s="249"/>
      <c r="U41" s="249"/>
      <c r="V41" s="249"/>
      <c r="W41" s="249"/>
      <c r="X41" s="249"/>
      <c r="Y41" s="249"/>
      <c r="Z41" s="249"/>
      <c r="AA41" s="249"/>
      <c r="AB41" s="249"/>
      <c r="AC41" s="249"/>
      <c r="AD41" s="249"/>
      <c r="AE41" s="249"/>
      <c r="AF41" s="249"/>
    </row>
    <row r="42" spans="1:32" x14ac:dyDescent="0.2">
      <c r="A42" s="7" t="str">
        <f ca="1">IF(AUTOEVENTO="Manual",IF(OFFSET(EVENTOS!$F$14,PLE!$B42,0)&gt;0,"F",""),IF(PLE!B42&lt;=MAX(CÁLCULO!$M$15:$M$27),"F",""))</f>
        <v/>
      </c>
      <c r="B42" s="248">
        <f t="shared" ca="1" si="1"/>
        <v>27</v>
      </c>
      <c r="C42" s="784">
        <f ca="1">IF(AUTOEVENTO="Manual",OFFSET(EVENTOS!$D$15,$B42-$B$15,0),IF(B42&lt;=MAX(CÁLCULO!$M$15:$M$27),VLOOKUP($B42,CÁLCULO!$M$15:$N$27,2,FALSE),0))</f>
        <v>0</v>
      </c>
      <c r="D42" s="784"/>
      <c r="F42" s="249"/>
      <c r="H42" s="249"/>
      <c r="I42" s="249"/>
      <c r="J42" s="249"/>
      <c r="K42" s="249"/>
      <c r="L42" s="249"/>
      <c r="M42" s="249"/>
      <c r="N42" s="249"/>
      <c r="O42" s="249"/>
      <c r="P42" s="249"/>
      <c r="Q42" s="249"/>
      <c r="R42" s="249"/>
      <c r="S42" s="249"/>
      <c r="T42" s="249"/>
      <c r="U42" s="249"/>
      <c r="V42" s="249"/>
      <c r="W42" s="249"/>
      <c r="X42" s="249"/>
      <c r="Y42" s="249"/>
      <c r="Z42" s="249"/>
      <c r="AA42" s="249"/>
      <c r="AB42" s="249"/>
      <c r="AC42" s="249"/>
      <c r="AD42" s="249"/>
      <c r="AE42" s="249"/>
      <c r="AF42" s="249"/>
    </row>
    <row r="43" spans="1:32" x14ac:dyDescent="0.2">
      <c r="A43" s="7" t="str">
        <f ca="1">IF(AUTOEVENTO="Manual",IF(OFFSET(EVENTOS!$F$14,PLE!$B43,0)&gt;0,"F",""),IF(PLE!B43&lt;=MAX(CÁLCULO!$M$15:$M$27),"F",""))</f>
        <v/>
      </c>
      <c r="B43" s="248">
        <f t="shared" ca="1" si="1"/>
        <v>28</v>
      </c>
      <c r="C43" s="784">
        <f ca="1">IF(AUTOEVENTO="Manual",OFFSET(EVENTOS!$D$15,$B43-$B$15,0),IF(B43&lt;=MAX(CÁLCULO!$M$15:$M$27),VLOOKUP($B43,CÁLCULO!$M$15:$N$27,2,FALSE),0))</f>
        <v>0</v>
      </c>
      <c r="D43" s="784"/>
      <c r="F43" s="249"/>
      <c r="H43" s="249"/>
      <c r="I43" s="249"/>
      <c r="J43" s="249"/>
      <c r="K43" s="249"/>
      <c r="L43" s="249"/>
      <c r="M43" s="249"/>
      <c r="N43" s="249"/>
      <c r="O43" s="249"/>
      <c r="P43" s="249"/>
      <c r="Q43" s="249"/>
      <c r="R43" s="249"/>
      <c r="S43" s="249"/>
      <c r="T43" s="249"/>
      <c r="U43" s="249"/>
      <c r="V43" s="249"/>
      <c r="W43" s="249"/>
      <c r="X43" s="249"/>
      <c r="Y43" s="249"/>
      <c r="Z43" s="249"/>
      <c r="AA43" s="249"/>
      <c r="AB43" s="249"/>
      <c r="AC43" s="249"/>
      <c r="AD43" s="249"/>
      <c r="AE43" s="249"/>
      <c r="AF43" s="249"/>
    </row>
    <row r="44" spans="1:32" x14ac:dyDescent="0.2">
      <c r="A44" s="7" t="str">
        <f ca="1">IF(AUTOEVENTO="Manual",IF(OFFSET(EVENTOS!$F$14,PLE!$B44,0)&gt;0,"F",""),IF(PLE!B44&lt;=MAX(CÁLCULO!$M$15:$M$27),"F",""))</f>
        <v/>
      </c>
      <c r="B44" s="248">
        <f t="shared" ca="1" si="1"/>
        <v>29</v>
      </c>
      <c r="C44" s="784">
        <f ca="1">IF(AUTOEVENTO="Manual",OFFSET(EVENTOS!$D$15,$B44-$B$15,0),IF(B44&lt;=MAX(CÁLCULO!$M$15:$M$27),VLOOKUP($B44,CÁLCULO!$M$15:$N$27,2,FALSE),0))</f>
        <v>0</v>
      </c>
      <c r="D44" s="784"/>
      <c r="F44" s="249"/>
      <c r="H44" s="249"/>
      <c r="I44" s="249"/>
      <c r="J44" s="249"/>
      <c r="K44" s="249"/>
      <c r="L44" s="249"/>
      <c r="M44" s="249"/>
      <c r="N44" s="249"/>
      <c r="O44" s="249"/>
      <c r="P44" s="249"/>
      <c r="Q44" s="249"/>
      <c r="R44" s="249"/>
      <c r="S44" s="249"/>
      <c r="T44" s="249"/>
      <c r="U44" s="249"/>
      <c r="V44" s="249"/>
      <c r="W44" s="249"/>
      <c r="X44" s="249"/>
      <c r="Y44" s="249"/>
      <c r="Z44" s="249"/>
      <c r="AA44" s="249"/>
      <c r="AB44" s="249"/>
      <c r="AC44" s="249"/>
      <c r="AD44" s="249"/>
      <c r="AE44" s="249"/>
      <c r="AF44" s="249"/>
    </row>
    <row r="45" spans="1:32" x14ac:dyDescent="0.2">
      <c r="A45" s="7" t="str">
        <f ca="1">IF(AUTOEVENTO="Manual",IF(OFFSET(EVENTOS!$F$14,PLE!$B45,0)&gt;0,"F",""),IF(PLE!B45&lt;=MAX(CÁLCULO!$M$15:$M$27),"F",""))</f>
        <v/>
      </c>
      <c r="B45" s="248">
        <f t="shared" ca="1" si="1"/>
        <v>30</v>
      </c>
      <c r="C45" s="784">
        <f ca="1">IF(AUTOEVENTO="Manual",OFFSET(EVENTOS!$D$15,$B45-$B$15,0),IF(B45&lt;=MAX(CÁLCULO!$M$15:$M$27),VLOOKUP($B45,CÁLCULO!$M$15:$N$27,2,FALSE),0))</f>
        <v>0</v>
      </c>
      <c r="D45" s="784"/>
      <c r="F45" s="249"/>
      <c r="H45" s="249"/>
      <c r="I45" s="249"/>
      <c r="J45" s="249"/>
      <c r="K45" s="249"/>
      <c r="L45" s="249"/>
      <c r="M45" s="249"/>
      <c r="N45" s="249"/>
      <c r="O45" s="249"/>
      <c r="P45" s="249"/>
      <c r="Q45" s="249"/>
      <c r="R45" s="249"/>
      <c r="S45" s="249"/>
      <c r="T45" s="249"/>
      <c r="U45" s="249"/>
      <c r="V45" s="249"/>
      <c r="W45" s="249"/>
      <c r="X45" s="249"/>
      <c r="Y45" s="249"/>
      <c r="Z45" s="249"/>
      <c r="AA45" s="249"/>
      <c r="AB45" s="249"/>
      <c r="AC45" s="249"/>
      <c r="AD45" s="249"/>
      <c r="AE45" s="249"/>
      <c r="AF45" s="249"/>
    </row>
    <row r="46" spans="1:32" x14ac:dyDescent="0.2">
      <c r="A46" s="7" t="str">
        <f ca="1">IF(AUTOEVENTO="Manual",IF(OFFSET(EVENTOS!$F$14,PLE!$B46,0)&gt;0,"F",""),IF(PLE!B46&lt;=MAX(CÁLCULO!$M$15:$M$27),"F",""))</f>
        <v/>
      </c>
      <c r="B46" s="248">
        <f t="shared" ca="1" si="1"/>
        <v>31</v>
      </c>
      <c r="C46" s="784">
        <f ca="1">IF(AUTOEVENTO="Manual",OFFSET(EVENTOS!$D$15,$B46-$B$15,0),IF(B46&lt;=MAX(CÁLCULO!$M$15:$M$27),VLOOKUP($B46,CÁLCULO!$M$15:$N$27,2,FALSE),0))</f>
        <v>0</v>
      </c>
      <c r="D46" s="784"/>
      <c r="F46" s="249"/>
      <c r="H46" s="249"/>
      <c r="I46" s="249"/>
      <c r="J46" s="249"/>
      <c r="K46" s="249"/>
      <c r="L46" s="249"/>
      <c r="M46" s="249"/>
      <c r="N46" s="249"/>
      <c r="O46" s="249"/>
      <c r="P46" s="249"/>
      <c r="Q46" s="249"/>
      <c r="R46" s="249"/>
      <c r="S46" s="249"/>
      <c r="T46" s="249"/>
      <c r="U46" s="249"/>
      <c r="V46" s="249"/>
      <c r="W46" s="249"/>
      <c r="X46" s="249"/>
      <c r="Y46" s="249"/>
      <c r="Z46" s="249"/>
      <c r="AA46" s="249"/>
      <c r="AB46" s="249"/>
      <c r="AC46" s="249"/>
      <c r="AD46" s="249"/>
      <c r="AE46" s="249"/>
      <c r="AF46" s="249"/>
    </row>
    <row r="47" spans="1:32" x14ac:dyDescent="0.2">
      <c r="A47" s="7" t="str">
        <f ca="1">IF(AUTOEVENTO="Manual",IF(OFFSET(EVENTOS!$F$14,PLE!$B47,0)&gt;0,"F",""),IF(PLE!B47&lt;=MAX(CÁLCULO!$M$15:$M$27),"F",""))</f>
        <v/>
      </c>
      <c r="B47" s="248">
        <f t="shared" ca="1" si="1"/>
        <v>32</v>
      </c>
      <c r="C47" s="784">
        <f ca="1">IF(AUTOEVENTO="Manual",OFFSET(EVENTOS!$D$15,$B47-$B$15,0),IF(B47&lt;=MAX(CÁLCULO!$M$15:$M$27),VLOOKUP($B47,CÁLCULO!$M$15:$N$27,2,FALSE),0))</f>
        <v>0</v>
      </c>
      <c r="D47" s="784"/>
      <c r="F47" s="249"/>
      <c r="H47" s="249"/>
      <c r="I47" s="249"/>
      <c r="J47" s="249"/>
      <c r="K47" s="249"/>
      <c r="L47" s="249"/>
      <c r="M47" s="249"/>
      <c r="N47" s="249"/>
      <c r="O47" s="249"/>
      <c r="P47" s="249"/>
      <c r="Q47" s="249"/>
      <c r="R47" s="249"/>
      <c r="S47" s="249"/>
      <c r="T47" s="249"/>
      <c r="U47" s="249"/>
      <c r="V47" s="249"/>
      <c r="W47" s="249"/>
      <c r="X47" s="249"/>
      <c r="Y47" s="249"/>
      <c r="Z47" s="249"/>
      <c r="AA47" s="249"/>
      <c r="AB47" s="249"/>
      <c r="AC47" s="249"/>
      <c r="AD47" s="249"/>
      <c r="AE47" s="249"/>
      <c r="AF47" s="249"/>
    </row>
    <row r="48" spans="1:32" x14ac:dyDescent="0.2">
      <c r="A48" s="7" t="str">
        <f ca="1">IF(AUTOEVENTO="Manual",IF(OFFSET(EVENTOS!$F$14,PLE!$B48,0)&gt;0,"F",""),IF(PLE!B48&lt;=MAX(CÁLCULO!$M$15:$M$27),"F",""))</f>
        <v/>
      </c>
      <c r="B48" s="248">
        <f t="shared" ca="1" si="1"/>
        <v>33</v>
      </c>
      <c r="C48" s="784">
        <f ca="1">IF(AUTOEVENTO="Manual",OFFSET(EVENTOS!$D$15,$B48-$B$15,0),IF(B48&lt;=MAX(CÁLCULO!$M$15:$M$27),VLOOKUP($B48,CÁLCULO!$M$15:$N$27,2,FALSE),0))</f>
        <v>0</v>
      </c>
      <c r="D48" s="784"/>
      <c r="F48" s="249"/>
      <c r="H48" s="249"/>
      <c r="I48" s="249"/>
      <c r="J48" s="249"/>
      <c r="K48" s="249"/>
      <c r="L48" s="249"/>
      <c r="M48" s="249"/>
      <c r="N48" s="249"/>
      <c r="O48" s="249"/>
      <c r="P48" s="249"/>
      <c r="Q48" s="249"/>
      <c r="R48" s="249"/>
      <c r="S48" s="249"/>
      <c r="T48" s="249"/>
      <c r="U48" s="249"/>
      <c r="V48" s="249"/>
      <c r="W48" s="249"/>
      <c r="X48" s="249"/>
      <c r="Y48" s="249"/>
      <c r="Z48" s="249"/>
      <c r="AA48" s="249"/>
      <c r="AB48" s="249"/>
      <c r="AC48" s="249"/>
      <c r="AD48" s="249"/>
      <c r="AE48" s="249"/>
      <c r="AF48" s="249"/>
    </row>
    <row r="49" spans="1:32" x14ac:dyDescent="0.2">
      <c r="A49" s="7" t="str">
        <f ca="1">IF(AUTOEVENTO="Manual",IF(OFFSET(EVENTOS!$F$14,PLE!$B49,0)&gt;0,"F",""),IF(PLE!B49&lt;=MAX(CÁLCULO!$M$15:$M$27),"F",""))</f>
        <v/>
      </c>
      <c r="B49" s="248">
        <f t="shared" ca="1" si="1"/>
        <v>34</v>
      </c>
      <c r="C49" s="784">
        <f ca="1">IF(AUTOEVENTO="Manual",OFFSET(EVENTOS!$D$15,$B49-$B$15,0),IF(B49&lt;=MAX(CÁLCULO!$M$15:$M$27),VLOOKUP($B49,CÁLCULO!$M$15:$N$27,2,FALSE),0))</f>
        <v>0</v>
      </c>
      <c r="D49" s="784"/>
      <c r="F49" s="249"/>
      <c r="H49" s="249"/>
      <c r="I49" s="249"/>
      <c r="J49" s="249"/>
      <c r="K49" s="249"/>
      <c r="L49" s="249"/>
      <c r="M49" s="249"/>
      <c r="N49" s="249"/>
      <c r="O49" s="249"/>
      <c r="P49" s="249"/>
      <c r="Q49" s="249"/>
      <c r="R49" s="249"/>
      <c r="S49" s="249"/>
      <c r="T49" s="249"/>
      <c r="U49" s="249"/>
      <c r="V49" s="249"/>
      <c r="W49" s="249"/>
      <c r="X49" s="249"/>
      <c r="Y49" s="249"/>
      <c r="Z49" s="249"/>
      <c r="AA49" s="249"/>
      <c r="AB49" s="249"/>
      <c r="AC49" s="249"/>
      <c r="AD49" s="249"/>
      <c r="AE49" s="249"/>
      <c r="AF49" s="249"/>
    </row>
    <row r="50" spans="1:32" x14ac:dyDescent="0.2">
      <c r="A50" s="7" t="str">
        <f ca="1">IF(AUTOEVENTO="Manual",IF(OFFSET(EVENTOS!$F$14,PLE!$B50,0)&gt;0,"F",""),IF(PLE!B50&lt;=MAX(CÁLCULO!$M$15:$M$27),"F",""))</f>
        <v/>
      </c>
      <c r="B50" s="248">
        <f t="shared" ca="1" si="1"/>
        <v>35</v>
      </c>
      <c r="C50" s="784">
        <f ca="1">IF(AUTOEVENTO="Manual",OFFSET(EVENTOS!$D$15,$B50-$B$15,0),IF(B50&lt;=MAX(CÁLCULO!$M$15:$M$27),VLOOKUP($B50,CÁLCULO!$M$15:$N$27,2,FALSE),0))</f>
        <v>0</v>
      </c>
      <c r="D50" s="784"/>
      <c r="F50" s="249"/>
      <c r="H50" s="249"/>
      <c r="I50" s="249"/>
      <c r="J50" s="249"/>
      <c r="K50" s="249"/>
      <c r="L50" s="249"/>
      <c r="M50" s="249"/>
      <c r="N50" s="249"/>
      <c r="O50" s="249"/>
      <c r="P50" s="249"/>
      <c r="Q50" s="249"/>
      <c r="R50" s="249"/>
      <c r="S50" s="249"/>
      <c r="T50" s="249"/>
      <c r="U50" s="249"/>
      <c r="V50" s="249"/>
      <c r="W50" s="249"/>
      <c r="X50" s="249"/>
      <c r="Y50" s="249"/>
      <c r="Z50" s="249"/>
      <c r="AA50" s="249"/>
      <c r="AB50" s="249"/>
      <c r="AC50" s="249"/>
      <c r="AD50" s="249"/>
      <c r="AE50" s="249"/>
      <c r="AF50" s="249"/>
    </row>
    <row r="51" spans="1:32" x14ac:dyDescent="0.2">
      <c r="A51" s="7" t="str">
        <f ca="1">IF(AUTOEVENTO="Manual",IF(OFFSET(EVENTOS!$F$14,PLE!$B51,0)&gt;0,"F",""),IF(PLE!B51&lt;=MAX(CÁLCULO!$M$15:$M$27),"F",""))</f>
        <v/>
      </c>
      <c r="B51" s="248">
        <f t="shared" ca="1" si="1"/>
        <v>36</v>
      </c>
      <c r="C51" s="784">
        <f ca="1">IF(AUTOEVENTO="Manual",OFFSET(EVENTOS!$D$15,$B51-$B$15,0),IF(B51&lt;=MAX(CÁLCULO!$M$15:$M$27),VLOOKUP($B51,CÁLCULO!$M$15:$N$27,2,FALSE),0))</f>
        <v>0</v>
      </c>
      <c r="D51" s="784"/>
      <c r="F51" s="249"/>
      <c r="H51" s="249"/>
      <c r="I51" s="249"/>
      <c r="J51" s="249"/>
      <c r="K51" s="249"/>
      <c r="L51" s="249"/>
      <c r="M51" s="249"/>
      <c r="N51" s="249"/>
      <c r="O51" s="249"/>
      <c r="P51" s="249"/>
      <c r="Q51" s="249"/>
      <c r="R51" s="249"/>
      <c r="S51" s="249"/>
      <c r="T51" s="249"/>
      <c r="U51" s="249"/>
      <c r="V51" s="249"/>
      <c r="W51" s="249"/>
      <c r="X51" s="249"/>
      <c r="Y51" s="249"/>
      <c r="Z51" s="249"/>
      <c r="AA51" s="249"/>
      <c r="AB51" s="249"/>
      <c r="AC51" s="249"/>
      <c r="AD51" s="249"/>
      <c r="AE51" s="249"/>
      <c r="AF51" s="249"/>
    </row>
    <row r="52" spans="1:32" x14ac:dyDescent="0.2">
      <c r="A52" s="7" t="str">
        <f ca="1">IF(AUTOEVENTO="Manual",IF(OFFSET(EVENTOS!$F$14,PLE!$B52,0)&gt;0,"F",""),IF(PLE!B52&lt;=MAX(CÁLCULO!$M$15:$M$27),"F",""))</f>
        <v/>
      </c>
      <c r="B52" s="248">
        <f t="shared" ca="1" si="1"/>
        <v>37</v>
      </c>
      <c r="C52" s="784">
        <f ca="1">IF(AUTOEVENTO="Manual",OFFSET(EVENTOS!$D$15,$B52-$B$15,0),IF(B52&lt;=MAX(CÁLCULO!$M$15:$M$27),VLOOKUP($B52,CÁLCULO!$M$15:$N$27,2,FALSE),0))</f>
        <v>0</v>
      </c>
      <c r="D52" s="784"/>
      <c r="F52" s="249"/>
      <c r="H52" s="249"/>
      <c r="I52" s="249"/>
      <c r="J52" s="249"/>
      <c r="K52" s="249"/>
      <c r="L52" s="249"/>
      <c r="M52" s="249"/>
      <c r="N52" s="249"/>
      <c r="O52" s="249"/>
      <c r="P52" s="249"/>
      <c r="Q52" s="249"/>
      <c r="R52" s="249"/>
      <c r="S52" s="249"/>
      <c r="T52" s="249"/>
      <c r="U52" s="249"/>
      <c r="V52" s="249"/>
      <c r="W52" s="249"/>
      <c r="X52" s="249"/>
      <c r="Y52" s="249"/>
      <c r="Z52" s="249"/>
      <c r="AA52" s="249"/>
      <c r="AB52" s="249"/>
      <c r="AC52" s="249"/>
      <c r="AD52" s="249"/>
      <c r="AE52" s="249"/>
      <c r="AF52" s="249"/>
    </row>
    <row r="53" spans="1:32" x14ac:dyDescent="0.2">
      <c r="A53" s="7" t="str">
        <f ca="1">IF(AUTOEVENTO="Manual",IF(OFFSET(EVENTOS!$F$14,PLE!$B53,0)&gt;0,"F",""),IF(PLE!B53&lt;=MAX(CÁLCULO!$M$15:$M$27),"F",""))</f>
        <v/>
      </c>
      <c r="B53" s="248">
        <f t="shared" ca="1" si="1"/>
        <v>38</v>
      </c>
      <c r="C53" s="784">
        <f ca="1">IF(AUTOEVENTO="Manual",OFFSET(EVENTOS!$D$15,$B53-$B$15,0),IF(B53&lt;=MAX(CÁLCULO!$M$15:$M$27),VLOOKUP($B53,CÁLCULO!$M$15:$N$27,2,FALSE),0))</f>
        <v>0</v>
      </c>
      <c r="D53" s="784"/>
      <c r="F53" s="249"/>
      <c r="H53" s="249"/>
      <c r="I53" s="249"/>
      <c r="J53" s="249"/>
      <c r="K53" s="249"/>
      <c r="L53" s="249"/>
      <c r="M53" s="249"/>
      <c r="N53" s="249"/>
      <c r="O53" s="249"/>
      <c r="P53" s="249"/>
      <c r="Q53" s="249"/>
      <c r="R53" s="249"/>
      <c r="S53" s="249"/>
      <c r="T53" s="249"/>
      <c r="U53" s="249"/>
      <c r="V53" s="249"/>
      <c r="W53" s="249"/>
      <c r="X53" s="249"/>
      <c r="Y53" s="249"/>
      <c r="Z53" s="249"/>
      <c r="AA53" s="249"/>
      <c r="AB53" s="249"/>
      <c r="AC53" s="249"/>
      <c r="AD53" s="249"/>
      <c r="AE53" s="249"/>
      <c r="AF53" s="249"/>
    </row>
    <row r="54" spans="1:32" x14ac:dyDescent="0.2">
      <c r="A54" s="7" t="str">
        <f ca="1">IF(AUTOEVENTO="Manual",IF(OFFSET(EVENTOS!$F$14,PLE!$B54,0)&gt;0,"F",""),IF(PLE!B54&lt;=MAX(CÁLCULO!$M$15:$M$27),"F",""))</f>
        <v/>
      </c>
      <c r="B54" s="248">
        <f t="shared" ca="1" si="1"/>
        <v>39</v>
      </c>
      <c r="C54" s="784">
        <f ca="1">IF(AUTOEVENTO="Manual",OFFSET(EVENTOS!$D$15,$B54-$B$15,0),IF(B54&lt;=MAX(CÁLCULO!$M$15:$M$27),VLOOKUP($B54,CÁLCULO!$M$15:$N$27,2,FALSE),0))</f>
        <v>0</v>
      </c>
      <c r="D54" s="784"/>
      <c r="F54" s="249"/>
      <c r="H54" s="249"/>
      <c r="I54" s="249"/>
      <c r="J54" s="249"/>
      <c r="K54" s="249"/>
      <c r="L54" s="249"/>
      <c r="M54" s="249"/>
      <c r="N54" s="249"/>
      <c r="O54" s="249"/>
      <c r="P54" s="249"/>
      <c r="Q54" s="249"/>
      <c r="R54" s="249"/>
      <c r="S54" s="249"/>
      <c r="T54" s="249"/>
      <c r="U54" s="249"/>
      <c r="V54" s="249"/>
      <c r="W54" s="249"/>
      <c r="X54" s="249"/>
      <c r="Y54" s="249"/>
      <c r="Z54" s="249"/>
      <c r="AA54" s="249"/>
      <c r="AB54" s="249"/>
      <c r="AC54" s="249"/>
      <c r="AD54" s="249"/>
      <c r="AE54" s="249"/>
      <c r="AF54" s="249"/>
    </row>
    <row r="55" spans="1:32" x14ac:dyDescent="0.2">
      <c r="A55" s="7" t="str">
        <f ca="1">IF(AUTOEVENTO="Manual",IF(OFFSET(EVENTOS!$F$14,PLE!$B55,0)&gt;0,"F",""),IF(PLE!B55&lt;=MAX(CÁLCULO!$M$15:$M$27),"F",""))</f>
        <v/>
      </c>
      <c r="B55" s="248">
        <f t="shared" ca="1" si="1"/>
        <v>40</v>
      </c>
      <c r="C55" s="784">
        <f ca="1">IF(AUTOEVENTO="Manual",OFFSET(EVENTOS!$D$15,$B55-$B$15,0),IF(B55&lt;=MAX(CÁLCULO!$M$15:$M$27),VLOOKUP($B55,CÁLCULO!$M$15:$N$27,2,FALSE),0))</f>
        <v>0</v>
      </c>
      <c r="D55" s="784"/>
      <c r="F55" s="249"/>
      <c r="H55" s="249"/>
      <c r="I55" s="249"/>
      <c r="J55" s="249"/>
      <c r="K55" s="249"/>
      <c r="L55" s="249"/>
      <c r="M55" s="249"/>
      <c r="N55" s="249"/>
      <c r="O55" s="249"/>
      <c r="P55" s="249"/>
      <c r="Q55" s="249"/>
      <c r="R55" s="249"/>
      <c r="S55" s="249"/>
      <c r="T55" s="249"/>
      <c r="U55" s="249"/>
      <c r="V55" s="249"/>
      <c r="W55" s="249"/>
      <c r="X55" s="249"/>
      <c r="Y55" s="249"/>
      <c r="Z55" s="249"/>
      <c r="AA55" s="249"/>
      <c r="AB55" s="249"/>
      <c r="AC55" s="249"/>
      <c r="AD55" s="249"/>
      <c r="AE55" s="249"/>
      <c r="AF55" s="249"/>
    </row>
    <row r="56" spans="1:32" x14ac:dyDescent="0.2">
      <c r="A56" s="7" t="str">
        <f ca="1">IF(AUTOEVENTO="Manual",IF(OFFSET(EVENTOS!$F$14,PLE!$B56,0)&gt;0,"F",""),IF(PLE!B56&lt;=MAX(CÁLCULO!$M$15:$M$27),"F",""))</f>
        <v/>
      </c>
      <c r="B56" s="248">
        <f t="shared" ca="1" si="1"/>
        <v>41</v>
      </c>
      <c r="C56" s="784">
        <f ca="1">IF(AUTOEVENTO="Manual",OFFSET(EVENTOS!$D$15,$B56-$B$15,0),IF(B56&lt;=MAX(CÁLCULO!$M$15:$M$27),VLOOKUP($B56,CÁLCULO!$M$15:$N$27,2,FALSE),0))</f>
        <v>0</v>
      </c>
      <c r="D56" s="784"/>
      <c r="F56" s="249"/>
      <c r="H56" s="249"/>
      <c r="I56" s="249"/>
      <c r="J56" s="249"/>
      <c r="K56" s="249"/>
      <c r="L56" s="249"/>
      <c r="M56" s="249"/>
      <c r="N56" s="249"/>
      <c r="O56" s="249"/>
      <c r="P56" s="249"/>
      <c r="Q56" s="249"/>
      <c r="R56" s="249"/>
      <c r="S56" s="249"/>
      <c r="T56" s="249"/>
      <c r="U56" s="249"/>
      <c r="V56" s="249"/>
      <c r="W56" s="249"/>
      <c r="X56" s="249"/>
      <c r="Y56" s="249"/>
      <c r="Z56" s="249"/>
      <c r="AA56" s="249"/>
      <c r="AB56" s="249"/>
      <c r="AC56" s="249"/>
      <c r="AD56" s="249"/>
      <c r="AE56" s="249"/>
      <c r="AF56" s="249"/>
    </row>
    <row r="57" spans="1:32" x14ac:dyDescent="0.2">
      <c r="A57" s="7" t="str">
        <f ca="1">IF(AUTOEVENTO="Manual",IF(OFFSET(EVENTOS!$F$14,PLE!$B57,0)&gt;0,"F",""),IF(PLE!B57&lt;=MAX(CÁLCULO!$M$15:$M$27),"F",""))</f>
        <v/>
      </c>
      <c r="B57" s="248">
        <f t="shared" ca="1" si="1"/>
        <v>42</v>
      </c>
      <c r="C57" s="784">
        <f ca="1">IF(AUTOEVENTO="Manual",OFFSET(EVENTOS!$D$15,$B57-$B$15,0),IF(B57&lt;=MAX(CÁLCULO!$M$15:$M$27),VLOOKUP($B57,CÁLCULO!$M$15:$N$27,2,FALSE),0))</f>
        <v>0</v>
      </c>
      <c r="D57" s="784"/>
      <c r="F57" s="249"/>
      <c r="H57" s="249"/>
      <c r="I57" s="249"/>
      <c r="J57" s="249"/>
      <c r="K57" s="249"/>
      <c r="L57" s="249"/>
      <c r="M57" s="249"/>
      <c r="N57" s="249"/>
      <c r="O57" s="249"/>
      <c r="P57" s="249"/>
      <c r="Q57" s="249"/>
      <c r="R57" s="249"/>
      <c r="S57" s="249"/>
      <c r="T57" s="249"/>
      <c r="U57" s="249"/>
      <c r="V57" s="249"/>
      <c r="W57" s="249"/>
      <c r="X57" s="249"/>
      <c r="Y57" s="249"/>
      <c r="Z57" s="249"/>
      <c r="AA57" s="249"/>
      <c r="AB57" s="249"/>
      <c r="AC57" s="249"/>
      <c r="AD57" s="249"/>
      <c r="AE57" s="249"/>
      <c r="AF57" s="249"/>
    </row>
    <row r="58" spans="1:32" x14ac:dyDescent="0.2">
      <c r="A58" s="7" t="str">
        <f ca="1">IF(AUTOEVENTO="Manual",IF(OFFSET(EVENTOS!$F$14,PLE!$B58,0)&gt;0,"F",""),IF(PLE!B58&lt;=MAX(CÁLCULO!$M$15:$M$27),"F",""))</f>
        <v/>
      </c>
      <c r="B58" s="248">
        <f t="shared" ca="1" si="1"/>
        <v>43</v>
      </c>
      <c r="C58" s="784">
        <f ca="1">IF(AUTOEVENTO="Manual",OFFSET(EVENTOS!$D$15,$B58-$B$15,0),IF(B58&lt;=MAX(CÁLCULO!$M$15:$M$27),VLOOKUP($B58,CÁLCULO!$M$15:$N$27,2,FALSE),0))</f>
        <v>0</v>
      </c>
      <c r="D58" s="784"/>
      <c r="F58" s="249"/>
      <c r="H58" s="249"/>
      <c r="I58" s="249"/>
      <c r="J58" s="249"/>
      <c r="K58" s="249"/>
      <c r="L58" s="249"/>
      <c r="M58" s="249"/>
      <c r="N58" s="249"/>
      <c r="O58" s="249"/>
      <c r="P58" s="249"/>
      <c r="Q58" s="249"/>
      <c r="R58" s="249"/>
      <c r="S58" s="249"/>
      <c r="T58" s="249"/>
      <c r="U58" s="249"/>
      <c r="V58" s="249"/>
      <c r="W58" s="249"/>
      <c r="X58" s="249"/>
      <c r="Y58" s="249"/>
      <c r="Z58" s="249"/>
      <c r="AA58" s="249"/>
      <c r="AB58" s="249"/>
      <c r="AC58" s="249"/>
      <c r="AD58" s="249"/>
      <c r="AE58" s="249"/>
      <c r="AF58" s="249"/>
    </row>
    <row r="59" spans="1:32" x14ac:dyDescent="0.2">
      <c r="A59" s="7" t="str">
        <f ca="1">IF(AUTOEVENTO="Manual",IF(OFFSET(EVENTOS!$F$14,PLE!$B59,0)&gt;0,"F",""),IF(PLE!B59&lt;=MAX(CÁLCULO!$M$15:$M$27),"F",""))</f>
        <v/>
      </c>
      <c r="B59" s="248">
        <f t="shared" ca="1" si="1"/>
        <v>44</v>
      </c>
      <c r="C59" s="784">
        <f ca="1">IF(AUTOEVENTO="Manual",OFFSET(EVENTOS!$D$15,$B59-$B$15,0),IF(B59&lt;=MAX(CÁLCULO!$M$15:$M$27),VLOOKUP($B59,CÁLCULO!$M$15:$N$27,2,FALSE),0))</f>
        <v>0</v>
      </c>
      <c r="D59" s="784"/>
      <c r="F59" s="249"/>
      <c r="H59" s="249"/>
      <c r="I59" s="249"/>
      <c r="J59" s="249"/>
      <c r="K59" s="249"/>
      <c r="L59" s="249"/>
      <c r="M59" s="249"/>
      <c r="N59" s="249"/>
      <c r="O59" s="249"/>
      <c r="P59" s="249"/>
      <c r="Q59" s="249"/>
      <c r="R59" s="249"/>
      <c r="S59" s="249"/>
      <c r="T59" s="249"/>
      <c r="U59" s="249"/>
      <c r="V59" s="249"/>
      <c r="W59" s="249"/>
      <c r="X59" s="249"/>
      <c r="Y59" s="249"/>
      <c r="Z59" s="249"/>
      <c r="AA59" s="249"/>
      <c r="AB59" s="249"/>
      <c r="AC59" s="249"/>
      <c r="AD59" s="249"/>
      <c r="AE59" s="249"/>
      <c r="AF59" s="249"/>
    </row>
    <row r="60" spans="1:32" x14ac:dyDescent="0.2">
      <c r="A60" s="7" t="str">
        <f ca="1">IF(AUTOEVENTO="Manual",IF(OFFSET(EVENTOS!$F$14,PLE!$B60,0)&gt;0,"F",""),IF(PLE!B60&lt;=MAX(CÁLCULO!$M$15:$M$27),"F",""))</f>
        <v/>
      </c>
      <c r="B60" s="248">
        <f t="shared" ca="1" si="1"/>
        <v>45</v>
      </c>
      <c r="C60" s="784">
        <f ca="1">IF(AUTOEVENTO="Manual",OFFSET(EVENTOS!$D$15,$B60-$B$15,0),IF(B60&lt;=MAX(CÁLCULO!$M$15:$M$27),VLOOKUP($B60,CÁLCULO!$M$15:$N$27,2,FALSE),0))</f>
        <v>0</v>
      </c>
      <c r="D60" s="784"/>
      <c r="F60" s="249"/>
      <c r="H60" s="249"/>
      <c r="I60" s="249"/>
      <c r="J60" s="249"/>
      <c r="K60" s="249"/>
      <c r="L60" s="249"/>
      <c r="M60" s="249"/>
      <c r="N60" s="249"/>
      <c r="O60" s="249"/>
      <c r="P60" s="249"/>
      <c r="Q60" s="249"/>
      <c r="R60" s="249"/>
      <c r="S60" s="249"/>
      <c r="T60" s="249"/>
      <c r="U60" s="249"/>
      <c r="V60" s="249"/>
      <c r="W60" s="249"/>
      <c r="X60" s="249"/>
      <c r="Y60" s="249"/>
      <c r="Z60" s="249"/>
      <c r="AA60" s="249"/>
      <c r="AB60" s="249"/>
      <c r="AC60" s="249"/>
      <c r="AD60" s="249"/>
      <c r="AE60" s="249"/>
      <c r="AF60" s="249"/>
    </row>
    <row r="61" spans="1:32" x14ac:dyDescent="0.2">
      <c r="A61" s="7" t="str">
        <f ca="1">IF(AUTOEVENTO="Manual",IF(OFFSET(EVENTOS!$F$14,PLE!$B61,0)&gt;0,"F",""),IF(PLE!B61&lt;=MAX(CÁLCULO!$M$15:$M$27),"F",""))</f>
        <v/>
      </c>
      <c r="B61" s="248">
        <f t="shared" ca="1" si="1"/>
        <v>46</v>
      </c>
      <c r="C61" s="784">
        <f ca="1">IF(AUTOEVENTO="Manual",OFFSET(EVENTOS!$D$15,$B61-$B$15,0),IF(B61&lt;=MAX(CÁLCULO!$M$15:$M$27),VLOOKUP($B61,CÁLCULO!$M$15:$N$27,2,FALSE),0))</f>
        <v>0</v>
      </c>
      <c r="D61" s="784"/>
      <c r="F61" s="249"/>
      <c r="H61" s="249"/>
      <c r="I61" s="249"/>
      <c r="J61" s="249"/>
      <c r="K61" s="249"/>
      <c r="L61" s="249"/>
      <c r="M61" s="249"/>
      <c r="N61" s="249"/>
      <c r="O61" s="249"/>
      <c r="P61" s="249"/>
      <c r="Q61" s="249"/>
      <c r="R61" s="249"/>
      <c r="S61" s="249"/>
      <c r="T61" s="249"/>
      <c r="U61" s="249"/>
      <c r="V61" s="249"/>
      <c r="W61" s="249"/>
      <c r="X61" s="249"/>
      <c r="Y61" s="249"/>
      <c r="Z61" s="249"/>
      <c r="AA61" s="249"/>
      <c r="AB61" s="249"/>
      <c r="AC61" s="249"/>
      <c r="AD61" s="249"/>
      <c r="AE61" s="249"/>
      <c r="AF61" s="249"/>
    </row>
    <row r="62" spans="1:32" x14ac:dyDescent="0.2">
      <c r="A62" s="7" t="str">
        <f ca="1">IF(AUTOEVENTO="Manual",IF(OFFSET(EVENTOS!$F$14,PLE!$B62,0)&gt;0,"F",""),IF(PLE!B62&lt;=MAX(CÁLCULO!$M$15:$M$27),"F",""))</f>
        <v/>
      </c>
      <c r="B62" s="248">
        <f t="shared" ca="1" si="1"/>
        <v>47</v>
      </c>
      <c r="C62" s="784">
        <f ca="1">IF(AUTOEVENTO="Manual",OFFSET(EVENTOS!$D$15,$B62-$B$15,0),IF(B62&lt;=MAX(CÁLCULO!$M$15:$M$27),VLOOKUP($B62,CÁLCULO!$M$15:$N$27,2,FALSE),0))</f>
        <v>0</v>
      </c>
      <c r="D62" s="784"/>
      <c r="F62" s="249"/>
      <c r="H62" s="249"/>
      <c r="I62" s="249"/>
      <c r="J62" s="249"/>
      <c r="K62" s="249"/>
      <c r="L62" s="249"/>
      <c r="M62" s="249"/>
      <c r="N62" s="249"/>
      <c r="O62" s="249"/>
      <c r="P62" s="249"/>
      <c r="Q62" s="249"/>
      <c r="R62" s="249"/>
      <c r="S62" s="249"/>
      <c r="T62" s="249"/>
      <c r="U62" s="249"/>
      <c r="V62" s="249"/>
      <c r="W62" s="249"/>
      <c r="X62" s="249"/>
      <c r="Y62" s="249"/>
      <c r="Z62" s="249"/>
      <c r="AA62" s="249"/>
      <c r="AB62" s="249"/>
      <c r="AC62" s="249"/>
      <c r="AD62" s="249"/>
      <c r="AE62" s="249"/>
      <c r="AF62" s="249"/>
    </row>
    <row r="63" spans="1:32" x14ac:dyDescent="0.2">
      <c r="A63" s="7" t="str">
        <f ca="1">IF(AUTOEVENTO="Manual",IF(OFFSET(EVENTOS!$F$14,PLE!$B63,0)&gt;0,"F",""),IF(PLE!B63&lt;=MAX(CÁLCULO!$M$15:$M$27),"F",""))</f>
        <v/>
      </c>
      <c r="B63" s="248">
        <f t="shared" ca="1" si="1"/>
        <v>48</v>
      </c>
      <c r="C63" s="784">
        <f ca="1">IF(AUTOEVENTO="Manual",OFFSET(EVENTOS!$D$15,$B63-$B$15,0),IF(B63&lt;=MAX(CÁLCULO!$M$15:$M$27),VLOOKUP($B63,CÁLCULO!$M$15:$N$27,2,FALSE),0))</f>
        <v>0</v>
      </c>
      <c r="D63" s="784"/>
      <c r="F63" s="249"/>
      <c r="H63" s="249"/>
      <c r="I63" s="249"/>
      <c r="J63" s="249"/>
      <c r="K63" s="249"/>
      <c r="L63" s="249"/>
      <c r="M63" s="249"/>
      <c r="N63" s="249"/>
      <c r="O63" s="249"/>
      <c r="P63" s="249"/>
      <c r="Q63" s="249"/>
      <c r="R63" s="249"/>
      <c r="S63" s="249"/>
      <c r="T63" s="249"/>
      <c r="U63" s="249"/>
      <c r="V63" s="249"/>
      <c r="W63" s="249"/>
      <c r="X63" s="249"/>
      <c r="Y63" s="249"/>
      <c r="Z63" s="249"/>
      <c r="AA63" s="249"/>
      <c r="AB63" s="249"/>
      <c r="AC63" s="249"/>
      <c r="AD63" s="249"/>
      <c r="AE63" s="249"/>
      <c r="AF63" s="249"/>
    </row>
    <row r="64" spans="1:32" x14ac:dyDescent="0.2">
      <c r="A64" s="7" t="str">
        <f ca="1">IF(AUTOEVENTO="Manual",IF(OFFSET(EVENTOS!$F$14,PLE!$B64,0)&gt;0,"F",""),IF(PLE!B64&lt;=MAX(CÁLCULO!$M$15:$M$27),"F",""))</f>
        <v/>
      </c>
      <c r="B64" s="248">
        <f t="shared" ca="1" si="1"/>
        <v>49</v>
      </c>
      <c r="C64" s="784">
        <f ca="1">IF(AUTOEVENTO="Manual",OFFSET(EVENTOS!$D$15,$B64-$B$15,0),IF(B64&lt;=MAX(CÁLCULO!$M$15:$M$27),VLOOKUP($B64,CÁLCULO!$M$15:$N$27,2,FALSE),0))</f>
        <v>0</v>
      </c>
      <c r="D64" s="784"/>
      <c r="F64" s="249"/>
      <c r="H64" s="249"/>
      <c r="I64" s="249"/>
      <c r="J64" s="249"/>
      <c r="K64" s="249"/>
      <c r="L64" s="249"/>
      <c r="M64" s="249"/>
      <c r="N64" s="249"/>
      <c r="O64" s="249"/>
      <c r="P64" s="249"/>
      <c r="Q64" s="249"/>
      <c r="R64" s="249"/>
      <c r="S64" s="249"/>
      <c r="T64" s="249"/>
      <c r="U64" s="249"/>
      <c r="V64" s="249"/>
      <c r="W64" s="249"/>
      <c r="X64" s="249"/>
      <c r="Y64" s="249"/>
      <c r="Z64" s="249"/>
      <c r="AA64" s="249"/>
      <c r="AB64" s="249"/>
      <c r="AC64" s="249"/>
      <c r="AD64" s="249"/>
      <c r="AE64" s="249"/>
      <c r="AF64" s="249"/>
    </row>
    <row r="65" spans="1:32" ht="4.5" customHeight="1" x14ac:dyDescent="0.2">
      <c r="A65" s="7" t="s">
        <v>538</v>
      </c>
      <c r="B65" s="626"/>
      <c r="C65" s="627"/>
      <c r="D65" s="420"/>
      <c r="F65" s="645"/>
      <c r="H65" s="626"/>
      <c r="I65" s="627"/>
      <c r="J65" s="627"/>
      <c r="K65" s="627"/>
      <c r="L65" s="627"/>
      <c r="M65" s="627"/>
      <c r="N65" s="627"/>
      <c r="O65" s="627"/>
      <c r="P65" s="627"/>
      <c r="Q65" s="627"/>
      <c r="R65" s="627"/>
      <c r="S65" s="627"/>
      <c r="T65" s="627"/>
      <c r="U65" s="627"/>
      <c r="V65" s="627"/>
      <c r="W65" s="627"/>
      <c r="X65" s="627"/>
      <c r="Y65" s="627"/>
      <c r="Z65" s="627"/>
      <c r="AA65" s="627"/>
      <c r="AB65" s="627"/>
      <c r="AC65" s="627"/>
      <c r="AD65" s="627"/>
      <c r="AE65" s="627"/>
      <c r="AF65" s="420"/>
    </row>
    <row r="66" spans="1:32" x14ac:dyDescent="0.2">
      <c r="A66" s="7" t="s">
        <v>538</v>
      </c>
    </row>
    <row r="67" spans="1:32" x14ac:dyDescent="0.2">
      <c r="A67" s="7" t="s">
        <v>538</v>
      </c>
      <c r="I67" s="792" t="s">
        <v>844</v>
      </c>
      <c r="J67" s="792"/>
      <c r="K67" s="792"/>
      <c r="L67" s="792"/>
      <c r="M67" s="792"/>
      <c r="N67" s="792"/>
      <c r="O67" s="792"/>
      <c r="P67" s="792"/>
      <c r="Q67" s="792"/>
      <c r="R67" s="792"/>
      <c r="S67" s="792"/>
      <c r="T67" s="792"/>
      <c r="U67" s="792"/>
      <c r="V67" s="792"/>
      <c r="W67" s="792"/>
      <c r="X67" s="792"/>
      <c r="Y67" s="792"/>
      <c r="Z67" s="792"/>
      <c r="AA67" s="792"/>
      <c r="AB67" s="792"/>
      <c r="AC67" s="792"/>
      <c r="AD67" s="792"/>
      <c r="AE67" s="792"/>
      <c r="AF67" s="792"/>
    </row>
    <row r="68" spans="1:32" x14ac:dyDescent="0.2">
      <c r="A68" s="7" t="s">
        <v>538</v>
      </c>
      <c r="H68" s="590" t="str">
        <f>IF(INDEX($I$68:$AG$68,MATCH(PLE.Medicao,$I$69:$AG$69,0))="","Preencher a data da medição "&amp;PLE.Medicao,"")</f>
        <v>Preencher a data da medição 1</v>
      </c>
      <c r="I68" s="771"/>
      <c r="J68" s="772"/>
      <c r="K68" s="772"/>
      <c r="L68" s="772"/>
      <c r="M68" s="772"/>
      <c r="N68" s="772"/>
      <c r="O68" s="772"/>
      <c r="P68" s="772"/>
      <c r="Q68" s="772"/>
      <c r="R68" s="772"/>
      <c r="S68" s="772"/>
      <c r="T68" s="772"/>
      <c r="U68" s="772"/>
      <c r="V68" s="772"/>
      <c r="W68" s="772"/>
      <c r="X68" s="772"/>
      <c r="Y68" s="772"/>
      <c r="Z68" s="772"/>
      <c r="AA68" s="772"/>
      <c r="AB68" s="772"/>
      <c r="AC68" s="772"/>
      <c r="AD68" s="772"/>
      <c r="AE68" s="772"/>
      <c r="AF68" s="793"/>
    </row>
    <row r="69" spans="1:32" x14ac:dyDescent="0.2">
      <c r="A69" s="7" t="s">
        <v>538</v>
      </c>
      <c r="D69" s="270" t="s">
        <v>845</v>
      </c>
      <c r="I69" s="775">
        <f>IF(PLE.Medicao&lt;=12,1,TRUNC((PLE.Medicao - 2)/11,0) * 11 + 1)</f>
        <v>1</v>
      </c>
      <c r="J69" s="775"/>
      <c r="K69" s="775">
        <f>I69+1</f>
        <v>2</v>
      </c>
      <c r="L69" s="775"/>
      <c r="M69" s="775">
        <f>K69+1</f>
        <v>3</v>
      </c>
      <c r="N69" s="775"/>
      <c r="O69" s="775">
        <f>M69+1</f>
        <v>4</v>
      </c>
      <c r="P69" s="775"/>
      <c r="Q69" s="775">
        <f>O69+1</f>
        <v>5</v>
      </c>
      <c r="R69" s="775"/>
      <c r="S69" s="775">
        <f>Q69+1</f>
        <v>6</v>
      </c>
      <c r="T69" s="775"/>
      <c r="U69" s="775">
        <f>S69+1</f>
        <v>7</v>
      </c>
      <c r="V69" s="775"/>
      <c r="W69" s="775">
        <f>U69+1</f>
        <v>8</v>
      </c>
      <c r="X69" s="775"/>
      <c r="Y69" s="775">
        <f>W69+1</f>
        <v>9</v>
      </c>
      <c r="Z69" s="775"/>
      <c r="AA69" s="775">
        <f>Y69+1</f>
        <v>10</v>
      </c>
      <c r="AB69" s="775"/>
      <c r="AC69" s="775">
        <f>AA69+1</f>
        <v>11</v>
      </c>
      <c r="AD69" s="775"/>
      <c r="AE69" s="775">
        <f>AC69+1</f>
        <v>12</v>
      </c>
      <c r="AF69" s="775"/>
    </row>
    <row r="70" spans="1:32" x14ac:dyDescent="0.2">
      <c r="A70" s="7" t="s">
        <v>538</v>
      </c>
      <c r="D70" s="778" t="s">
        <v>804</v>
      </c>
      <c r="H70" s="271" t="s">
        <v>786</v>
      </c>
      <c r="I70" s="776" t="e">
        <f ca="1">ROUND(I71,2)/ORÇAMENTO!$X$15</f>
        <v>#DIV/0!</v>
      </c>
      <c r="J70" s="776"/>
      <c r="K70" s="777" t="e">
        <f ca="1">ROUND(K71,2)/ORÇAMENTO!$X$15</f>
        <v>#DIV/0!</v>
      </c>
      <c r="L70" s="777"/>
      <c r="M70" s="783" t="e">
        <f ca="1">ROUND(M71,2)/ORÇAMENTO!$X$15</f>
        <v>#DIV/0!</v>
      </c>
      <c r="N70" s="783"/>
      <c r="O70" s="777" t="e">
        <f ca="1">ROUND(O71,2)/ORÇAMENTO!$X$15</f>
        <v>#DIV/0!</v>
      </c>
      <c r="P70" s="777"/>
      <c r="Q70" s="783" t="e">
        <f ca="1">ROUND(Q71,2)/ORÇAMENTO!$X$15</f>
        <v>#DIV/0!</v>
      </c>
      <c r="R70" s="783"/>
      <c r="S70" s="777" t="e">
        <f ca="1">ROUND(S71,2)/ORÇAMENTO!$X$15</f>
        <v>#DIV/0!</v>
      </c>
      <c r="T70" s="777"/>
      <c r="U70" s="783" t="e">
        <f ca="1">ROUND(U71,2)/ORÇAMENTO!$X$15</f>
        <v>#DIV/0!</v>
      </c>
      <c r="V70" s="783"/>
      <c r="W70" s="777" t="e">
        <f ca="1">ROUND(W71,2)/ORÇAMENTO!$X$15</f>
        <v>#DIV/0!</v>
      </c>
      <c r="X70" s="777"/>
      <c r="Y70" s="783" t="e">
        <f ca="1">ROUND(Y71,2)/ORÇAMENTO!$X$15</f>
        <v>#DIV/0!</v>
      </c>
      <c r="Z70" s="783"/>
      <c r="AA70" s="777" t="e">
        <f ca="1">ROUND(AA71,2)/ORÇAMENTO!$X$15</f>
        <v>#DIV/0!</v>
      </c>
      <c r="AB70" s="777"/>
      <c r="AC70" s="783" t="e">
        <f ca="1">ROUND(AC71,2)/ORÇAMENTO!$X$15</f>
        <v>#DIV/0!</v>
      </c>
      <c r="AD70" s="783"/>
      <c r="AE70" s="777" t="e">
        <f ca="1">ROUND(AE71,2)/ORÇAMENTO!$X$15</f>
        <v>#DIV/0!</v>
      </c>
      <c r="AF70" s="777"/>
    </row>
    <row r="71" spans="1:32" x14ac:dyDescent="0.2">
      <c r="A71" s="7" t="s">
        <v>538</v>
      </c>
      <c r="D71" s="778"/>
      <c r="H71" s="11" t="s">
        <v>787</v>
      </c>
      <c r="I71" s="773" cm="1">
        <f t="array" aca="1" ref="I71" ca="1">IF(I69=1,I73,_xlfn.SINGLE(AH11ARRED(I73,2))-ROUND(SUMIF(CÁLCULO!$AX$15:$BH$27,"&lt;="&amp;PLE!I69-1,CÁLCULO!$AB$15:$AL$27)*IF(AdmLocal="Automática",(1+_xlfn.SINGLE(CÁLCULO.TotalAdmLocal)/(ORÇAMENTO!$X$15-_xlfn.SINGLE(CÁLCULO.TotalAdmLocal))),1),2))</f>
        <v>0</v>
      </c>
      <c r="J71" s="773"/>
      <c r="K71" s="773">
        <f ca="1">ROUND(K73,2)-ROUND(I73,2)</f>
        <v>0</v>
      </c>
      <c r="L71" s="773"/>
      <c r="M71" s="774">
        <f ca="1">ROUND(M73,2)-ROUND(K73,2)</f>
        <v>0</v>
      </c>
      <c r="N71" s="774"/>
      <c r="O71" s="773">
        <f ca="1">ROUND(O73,2)-ROUND(M73,2)</f>
        <v>0</v>
      </c>
      <c r="P71" s="773"/>
      <c r="Q71" s="774">
        <f ca="1">ROUND(Q73,2)-ROUND(O73,2)</f>
        <v>0</v>
      </c>
      <c r="R71" s="774"/>
      <c r="S71" s="773">
        <f ca="1">ROUND(S73,2)-ROUND(Q73,2)</f>
        <v>0</v>
      </c>
      <c r="T71" s="773"/>
      <c r="U71" s="774">
        <f ca="1">ROUND(U73,2)-ROUND(S73,2)</f>
        <v>0</v>
      </c>
      <c r="V71" s="774"/>
      <c r="W71" s="773">
        <f ca="1">ROUND(W73,2)-ROUND(U73,2)</f>
        <v>0</v>
      </c>
      <c r="X71" s="773"/>
      <c r="Y71" s="774">
        <f ca="1">ROUND(Y73,2)-ROUND(W73,2)</f>
        <v>0</v>
      </c>
      <c r="Z71" s="774"/>
      <c r="AA71" s="773">
        <f ca="1">ROUND(AA73,2)-ROUND(Y73,2)</f>
        <v>0</v>
      </c>
      <c r="AB71" s="773"/>
      <c r="AC71" s="774">
        <f ca="1">ROUND(AC73,2)-ROUND(AA73,2)</f>
        <v>0</v>
      </c>
      <c r="AD71" s="774"/>
      <c r="AE71" s="773">
        <f ca="1">ROUND(AE73,2)-ROUND(AC73,2)</f>
        <v>0</v>
      </c>
      <c r="AF71" s="773"/>
    </row>
    <row r="72" spans="1:32" x14ac:dyDescent="0.2">
      <c r="A72" s="7" t="s">
        <v>538</v>
      </c>
      <c r="D72" s="778" t="s">
        <v>808</v>
      </c>
      <c r="H72" s="271" t="s">
        <v>786</v>
      </c>
      <c r="I72" s="781" t="e">
        <f ca="1">ROUND(I73,2)/ORÇAMENTO!$X$15</f>
        <v>#DIV/0!</v>
      </c>
      <c r="J72" s="781"/>
      <c r="K72" s="780" t="e">
        <f ca="1">ROUND(K73,2)/ORÇAMENTO!$X$15</f>
        <v>#DIV/0!</v>
      </c>
      <c r="L72" s="780"/>
      <c r="M72" s="770" t="e">
        <f ca="1">ROUND(M73,2)/ORÇAMENTO!$X$15</f>
        <v>#DIV/0!</v>
      </c>
      <c r="N72" s="770"/>
      <c r="O72" s="780" t="e">
        <f ca="1">ROUND(O73,2)/ORÇAMENTO!$X$15</f>
        <v>#DIV/0!</v>
      </c>
      <c r="P72" s="780"/>
      <c r="Q72" s="770" t="e">
        <f ca="1">ROUND(Q73,2)/ORÇAMENTO!$X$15</f>
        <v>#DIV/0!</v>
      </c>
      <c r="R72" s="770"/>
      <c r="S72" s="780" t="e">
        <f ca="1">ROUND(S73,2)/ORÇAMENTO!$X$15</f>
        <v>#DIV/0!</v>
      </c>
      <c r="T72" s="780"/>
      <c r="U72" s="770" t="e">
        <f ca="1">ROUND(U73,2)/ORÇAMENTO!$X$15</f>
        <v>#DIV/0!</v>
      </c>
      <c r="V72" s="770"/>
      <c r="W72" s="780" t="e">
        <f ca="1">ROUND(W73,2)/ORÇAMENTO!$X$15</f>
        <v>#DIV/0!</v>
      </c>
      <c r="X72" s="780"/>
      <c r="Y72" s="770" t="e">
        <f ca="1">ROUND(Y73,2)/ORÇAMENTO!$X$15</f>
        <v>#DIV/0!</v>
      </c>
      <c r="Z72" s="770"/>
      <c r="AA72" s="780" t="e">
        <f ca="1">ROUND(AA73,2)/ORÇAMENTO!$X$15</f>
        <v>#DIV/0!</v>
      </c>
      <c r="AB72" s="780"/>
      <c r="AC72" s="770" t="e">
        <f ca="1">ROUND(AC73,2)/ORÇAMENTO!$X$15</f>
        <v>#DIV/0!</v>
      </c>
      <c r="AD72" s="770"/>
      <c r="AE72" s="780" t="e">
        <f ca="1">ROUND(AE73,2)/ORÇAMENTO!$X$15</f>
        <v>#DIV/0!</v>
      </c>
      <c r="AF72" s="780"/>
    </row>
    <row r="73" spans="1:32" x14ac:dyDescent="0.2">
      <c r="A73" s="7" t="s">
        <v>538</v>
      </c>
      <c r="D73" s="778"/>
      <c r="H73" s="11" t="s">
        <v>787</v>
      </c>
      <c r="I73" s="779" cm="1">
        <f t="array" aca="1" ref="I73" ca="1">SUMIF(CÁLCULO!$AX$15:$BH$27,"&lt;="&amp;PLE!I69,CÁLCULO!$AB$15:$AL$27)*IF(AdmLocal="Automática",(1+_xlfn.SINGLE(CÁLCULO.TotalAdmLocal)/(ORÇAMENTO!$X$15-_xlfn.SINGLE(CÁLCULO.TotalAdmLocal))),1)</f>
        <v>0</v>
      </c>
      <c r="J73" s="779"/>
      <c r="K73" s="773" cm="1">
        <f t="array" aca="1" ref="K73" ca="1">SUMIF(CÁLCULO!$AX$15:$BH$27,"&lt;="&amp;PLE!K69,CÁLCULO!$AB$15:$AL$27)*IF(AdmLocal="Automática",(1+_xlfn.SINGLE(CÁLCULO.TotalAdmLocal)/(ORÇAMENTO!$X$15-_xlfn.SINGLE(CÁLCULO.TotalAdmLocal))),1)</f>
        <v>0</v>
      </c>
      <c r="L73" s="773"/>
      <c r="M73" s="774" cm="1">
        <f t="array" aca="1" ref="M73" ca="1">SUMIF(CÁLCULO!$AX$15:$BH$27,"&lt;="&amp;PLE!M69,CÁLCULO!$AB$15:$AL$27)*IF(AdmLocal="Automática",(1+_xlfn.SINGLE(CÁLCULO.TotalAdmLocal)/(ORÇAMENTO!$X$15-_xlfn.SINGLE(CÁLCULO.TotalAdmLocal))),1)</f>
        <v>0</v>
      </c>
      <c r="N73" s="774"/>
      <c r="O73" s="773" cm="1">
        <f t="array" aca="1" ref="O73" ca="1">SUMIF(CÁLCULO!$AX$15:$BH$27,"&lt;="&amp;PLE!O69,CÁLCULO!$AB$15:$AL$27)*IF(AdmLocal="Automática",(1+_xlfn.SINGLE(CÁLCULO.TotalAdmLocal)/(ORÇAMENTO!$X$15-_xlfn.SINGLE(CÁLCULO.TotalAdmLocal))),1)</f>
        <v>0</v>
      </c>
      <c r="P73" s="773"/>
      <c r="Q73" s="774" cm="1">
        <f t="array" aca="1" ref="Q73" ca="1">SUMIF(CÁLCULO!$AX$15:$BH$27,"&lt;="&amp;PLE!Q69,CÁLCULO!$AB$15:$AL$27)*IF(AdmLocal="Automática",(1+_xlfn.SINGLE(CÁLCULO.TotalAdmLocal)/(ORÇAMENTO!$X$15-_xlfn.SINGLE(CÁLCULO.TotalAdmLocal))),1)</f>
        <v>0</v>
      </c>
      <c r="R73" s="774"/>
      <c r="S73" s="773" cm="1">
        <f t="array" aca="1" ref="S73" ca="1">SUMIF(CÁLCULO!$AX$15:$BH$27,"&lt;="&amp;PLE!S69,CÁLCULO!$AB$15:$AL$27)*IF(AdmLocal="Automática",(1+_xlfn.SINGLE(CÁLCULO.TotalAdmLocal)/(ORÇAMENTO!$X$15-_xlfn.SINGLE(CÁLCULO.TotalAdmLocal))),1)</f>
        <v>0</v>
      </c>
      <c r="T73" s="773"/>
      <c r="U73" s="774" cm="1">
        <f t="array" aca="1" ref="U73" ca="1">SUMIF(CÁLCULO!$AX$15:$BH$27,"&lt;="&amp;PLE!U69,CÁLCULO!$AB$15:$AL$27)*IF(AdmLocal="Automática",(1+_xlfn.SINGLE(CÁLCULO.TotalAdmLocal)/(ORÇAMENTO!$X$15-_xlfn.SINGLE(CÁLCULO.TotalAdmLocal))),1)</f>
        <v>0</v>
      </c>
      <c r="V73" s="774"/>
      <c r="W73" s="773" cm="1">
        <f t="array" aca="1" ref="W73" ca="1">SUMIF(CÁLCULO!$AX$15:$BH$27,"&lt;="&amp;PLE!W69,CÁLCULO!$AB$15:$AL$27)*IF(AdmLocal="Automática",(1+_xlfn.SINGLE(CÁLCULO.TotalAdmLocal)/(ORÇAMENTO!$X$15-_xlfn.SINGLE(CÁLCULO.TotalAdmLocal))),1)</f>
        <v>0</v>
      </c>
      <c r="X73" s="773"/>
      <c r="Y73" s="774" cm="1">
        <f t="array" aca="1" ref="Y73" ca="1">SUMIF(CÁLCULO!$AX$15:$BH$27,"&lt;="&amp;PLE!Y69,CÁLCULO!$AB$15:$AL$27)*IF(AdmLocal="Automática",(1+_xlfn.SINGLE(CÁLCULO.TotalAdmLocal)/(ORÇAMENTO!$X$15-_xlfn.SINGLE(CÁLCULO.TotalAdmLocal))),1)</f>
        <v>0</v>
      </c>
      <c r="Z73" s="774"/>
      <c r="AA73" s="773" cm="1">
        <f t="array" aca="1" ref="AA73" ca="1">SUMIF(CÁLCULO!$AX$15:$BH$27,"&lt;="&amp;PLE!AA69,CÁLCULO!$AB$15:$AL$27)*IF(AdmLocal="Automática",(1+_xlfn.SINGLE(CÁLCULO.TotalAdmLocal)/(ORÇAMENTO!$X$15-_xlfn.SINGLE(CÁLCULO.TotalAdmLocal))),1)</f>
        <v>0</v>
      </c>
      <c r="AB73" s="773"/>
      <c r="AC73" s="774" cm="1">
        <f t="array" aca="1" ref="AC73" ca="1">SUMIF(CÁLCULO!$AX$15:$BH$27,"&lt;="&amp;PLE!AC69,CÁLCULO!$AB$15:$AL$27)*IF(AdmLocal="Automática",(1+_xlfn.SINGLE(CÁLCULO.TotalAdmLocal)/(ORÇAMENTO!$X$15-_xlfn.SINGLE(CÁLCULO.TotalAdmLocal))),1)</f>
        <v>0</v>
      </c>
      <c r="AD73" s="774"/>
      <c r="AE73" s="773" cm="1">
        <f t="array" aca="1" ref="AE73" ca="1">SUMIF(CÁLCULO!$AX$15:$BH$27,"&lt;="&amp;PLE!AE69,CÁLCULO!$AB$15:$AL$27)*IF(AdmLocal="Automática",(1+_xlfn.SINGLE(CÁLCULO.TotalAdmLocal)/(ORÇAMENTO!$X$15-_xlfn.SINGLE(CÁLCULO.TotalAdmLocal))),1)</f>
        <v>0</v>
      </c>
      <c r="AF73" s="773"/>
    </row>
    <row r="74" spans="1:32" ht="12.75" customHeight="1" x14ac:dyDescent="0.2">
      <c r="A74" s="7"/>
      <c r="D74" s="558" t="s">
        <v>789</v>
      </c>
      <c r="H74" s="557" t="s">
        <v>786</v>
      </c>
      <c r="I74" s="730" t="e" cm="1">
        <f t="array" aca="1" ref="I74" ca="1">IF(OR(_xlfn.SINGLE(ACOMPANHAMENTO)&lt;&gt;"PLE",I69&gt;PLE.Medicao),0,
   IF(AUTOEVENTO="Manual",
      IF(AdmLocal="Automática",I72,
         IF(Import.EventoAdmLocal="","",SUMIF(OFFSET($G$14,CRONOPLE!$A$8+1,1,1,OFFSET($AG$12,0,-1)),"&lt;="&amp;I69,OFFSET(EVENTOS!$G$14,CRONOPLE!$A$8+1,1,1,OFFSET($AG$12,0,-1)))/OFFSET(EVENTOS!$G$14,CRONOPLE!$A$8+1,-1))),
      IF(Import.EventoAdmLocal="","",SUMIF(OFFSET(CÁLCULO!$AW$15,CRONOPLE!$A$10,1,OFFSET(ORÇAMENTO!$D$15,CRONOPLE!$A$10,0),COLUMN(CÁLCULO!$BH$15)-COLUMN(CÁLCULO!$AW$15)-1),"&lt;="&amp;I69,OFFSET(CÁLCULO!$AA$15,CRONOPLE!$A$10,1,OFFSET(ORÇAMENTO!$D$15,CRONOPLE!$A$10,0),COLUMN(CÁLCULO!$AL$15)-COLUMN(CÁLCULO!$AA$15)-1))/OFFSET(ORÇAMENTO!$X$15,CRONOPLE!$A$10,0))))</f>
        <v>#NAME?</v>
      </c>
      <c r="J74" s="730"/>
      <c r="K74" s="730" t="e" cm="1">
        <f t="array" aca="1" ref="K74" ca="1">IF(OR(_xlfn.SINGLE(ACOMPANHAMENTO)&lt;&gt;"PLE",K69&gt;PLE.Medicao),0,
   IF(AUTOEVENTO="Manual",
      IF(AdmLocal="Automática",K72,
         IF(Import.EventoAdmLocal="","",SUMIF(OFFSET($G$14,CRONOPLE!$A$8+1,1,1,OFFSET($AG$12,0,-1)),"&lt;="&amp;K69,OFFSET(EVENTOS!$G$14,CRONOPLE!$A$8+1,1,1,OFFSET($AG$12,0,-1)))/OFFSET(EVENTOS!$G$14,CRONOPLE!$A$8+1,-1))),
      IF(Import.EventoAdmLocal="","",SUMIF(OFFSET(CÁLCULO!$AW$15,CRONOPLE!$A$10,1,OFFSET(ORÇAMENTO!$D$15,CRONOPLE!$A$10,0),COLUMN(CÁLCULO!$BH$15)-COLUMN(CÁLCULO!$AW$15)-1),"&lt;="&amp;K69,OFFSET(CÁLCULO!$AA$15,CRONOPLE!$A$10,1,OFFSET(ORÇAMENTO!$D$15,CRONOPLE!$A$10,0),COLUMN(CÁLCULO!$AL$15)-COLUMN(CÁLCULO!$AA$15)-1))/OFFSET(ORÇAMENTO!$X$15,CRONOPLE!$A$10,0))))</f>
        <v>#NAME?</v>
      </c>
      <c r="L74" s="730"/>
      <c r="M74" s="730" t="e" cm="1">
        <f t="array" aca="1" ref="M74" ca="1">IF(OR(_xlfn.SINGLE(ACOMPANHAMENTO)&lt;&gt;"PLE",M69&gt;PLE.Medicao),0,
   IF(AUTOEVENTO="Manual",
      IF(AdmLocal="Automática",M72,
         IF(Import.EventoAdmLocal="","",SUMIF(OFFSET($G$14,CRONOPLE!$A$8+1,1,1,OFFSET($AG$12,0,-1)),"&lt;="&amp;M69,OFFSET(EVENTOS!$G$14,CRONOPLE!$A$8+1,1,1,OFFSET($AG$12,0,-1)))/OFFSET(EVENTOS!$G$14,CRONOPLE!$A$8+1,-1))),
      IF(Import.EventoAdmLocal="","",SUMIF(OFFSET(CÁLCULO!$AW$15,CRONOPLE!$A$10,1,OFFSET(ORÇAMENTO!$D$15,CRONOPLE!$A$10,0),COLUMN(CÁLCULO!$BH$15)-COLUMN(CÁLCULO!$AW$15)-1),"&lt;="&amp;M69,OFFSET(CÁLCULO!$AA$15,CRONOPLE!$A$10,1,OFFSET(ORÇAMENTO!$D$15,CRONOPLE!$A$10,0),COLUMN(CÁLCULO!$AL$15)-COLUMN(CÁLCULO!$AA$15)-1))/OFFSET(ORÇAMENTO!$X$15,CRONOPLE!$A$10,0))))</f>
        <v>#NAME?</v>
      </c>
      <c r="N74" s="730"/>
      <c r="O74" s="730" t="e" cm="1">
        <f t="array" aca="1" ref="O74" ca="1">IF(OR(_xlfn.SINGLE(ACOMPANHAMENTO)&lt;&gt;"PLE",O69&gt;PLE.Medicao),0,
   IF(AUTOEVENTO="Manual",
      IF(AdmLocal="Automática",O72,
         IF(Import.EventoAdmLocal="","",SUMIF(OFFSET($G$14,CRONOPLE!$A$8+1,1,1,OFFSET($AG$12,0,-1)),"&lt;="&amp;O69,OFFSET(EVENTOS!$G$14,CRONOPLE!$A$8+1,1,1,OFFSET($AG$12,0,-1)))/OFFSET(EVENTOS!$G$14,CRONOPLE!$A$8+1,-1))),
      IF(Import.EventoAdmLocal="","",SUMIF(OFFSET(CÁLCULO!$AW$15,CRONOPLE!$A$10,1,OFFSET(ORÇAMENTO!$D$15,CRONOPLE!$A$10,0),COLUMN(CÁLCULO!$BH$15)-COLUMN(CÁLCULO!$AW$15)-1),"&lt;="&amp;O69,OFFSET(CÁLCULO!$AA$15,CRONOPLE!$A$10,1,OFFSET(ORÇAMENTO!$D$15,CRONOPLE!$A$10,0),COLUMN(CÁLCULO!$AL$15)-COLUMN(CÁLCULO!$AA$15)-1))/OFFSET(ORÇAMENTO!$X$15,CRONOPLE!$A$10,0))))</f>
        <v>#NAME?</v>
      </c>
      <c r="P74" s="730"/>
      <c r="Q74" s="730" t="e" cm="1">
        <f t="array" aca="1" ref="Q74" ca="1">IF(OR(_xlfn.SINGLE(ACOMPANHAMENTO)&lt;&gt;"PLE",Q69&gt;PLE.Medicao),0,
   IF(AUTOEVENTO="Manual",
      IF(AdmLocal="Automática",Q72,
         IF(Import.EventoAdmLocal="","",SUMIF(OFFSET($G$14,CRONOPLE!$A$8+1,1,1,OFFSET($AG$12,0,-1)),"&lt;="&amp;Q69,OFFSET(EVENTOS!$G$14,CRONOPLE!$A$8+1,1,1,OFFSET($AG$12,0,-1)))/OFFSET(EVENTOS!$G$14,CRONOPLE!$A$8+1,-1))),
      IF(Import.EventoAdmLocal="","",SUMIF(OFFSET(CÁLCULO!$AW$15,CRONOPLE!$A$10,1,OFFSET(ORÇAMENTO!$D$15,CRONOPLE!$A$10,0),COLUMN(CÁLCULO!$BH$15)-COLUMN(CÁLCULO!$AW$15)-1),"&lt;="&amp;Q69,OFFSET(CÁLCULO!$AA$15,CRONOPLE!$A$10,1,OFFSET(ORÇAMENTO!$D$15,CRONOPLE!$A$10,0),COLUMN(CÁLCULO!$AL$15)-COLUMN(CÁLCULO!$AA$15)-1))/OFFSET(ORÇAMENTO!$X$15,CRONOPLE!$A$10,0))))</f>
        <v>#NAME?</v>
      </c>
      <c r="R74" s="730"/>
      <c r="S74" s="730" t="e" cm="1">
        <f t="array" aca="1" ref="S74" ca="1">IF(OR(_xlfn.SINGLE(ACOMPANHAMENTO)&lt;&gt;"PLE",S69&gt;PLE.Medicao),0,
   IF(AUTOEVENTO="Manual",
      IF(AdmLocal="Automática",S72,
         IF(Import.EventoAdmLocal="","",SUMIF(OFFSET($G$14,CRONOPLE!$A$8+1,1,1,OFFSET($AG$12,0,-1)),"&lt;="&amp;S69,OFFSET(EVENTOS!$G$14,CRONOPLE!$A$8+1,1,1,OFFSET($AG$12,0,-1)))/OFFSET(EVENTOS!$G$14,CRONOPLE!$A$8+1,-1))),
      IF(Import.EventoAdmLocal="","",SUMIF(OFFSET(CÁLCULO!$AW$15,CRONOPLE!$A$10,1,OFFSET(ORÇAMENTO!$D$15,CRONOPLE!$A$10,0),COLUMN(CÁLCULO!$BH$15)-COLUMN(CÁLCULO!$AW$15)-1),"&lt;="&amp;S69,OFFSET(CÁLCULO!$AA$15,CRONOPLE!$A$10,1,OFFSET(ORÇAMENTO!$D$15,CRONOPLE!$A$10,0),COLUMN(CÁLCULO!$AL$15)-COLUMN(CÁLCULO!$AA$15)-1))/OFFSET(ORÇAMENTO!$X$15,CRONOPLE!$A$10,0))))</f>
        <v>#NAME?</v>
      </c>
      <c r="T74" s="730"/>
      <c r="U74" s="730" t="e" cm="1">
        <f t="array" aca="1" ref="U74" ca="1">IF(OR(_xlfn.SINGLE(ACOMPANHAMENTO)&lt;&gt;"PLE",U69&gt;PLE.Medicao),0,
   IF(AUTOEVENTO="Manual",
      IF(AdmLocal="Automática",U72,
         IF(Import.EventoAdmLocal="","",SUMIF(OFFSET($G$14,CRONOPLE!$A$8+1,1,1,OFFSET($AG$12,0,-1)),"&lt;="&amp;U69,OFFSET(EVENTOS!$G$14,CRONOPLE!$A$8+1,1,1,OFFSET($AG$12,0,-1)))/OFFSET(EVENTOS!$G$14,CRONOPLE!$A$8+1,-1))),
      IF(Import.EventoAdmLocal="","",SUMIF(OFFSET(CÁLCULO!$AW$15,CRONOPLE!$A$10,1,OFFSET(ORÇAMENTO!$D$15,CRONOPLE!$A$10,0),COLUMN(CÁLCULO!$BH$15)-COLUMN(CÁLCULO!$AW$15)-1),"&lt;="&amp;U69,OFFSET(CÁLCULO!$AA$15,CRONOPLE!$A$10,1,OFFSET(ORÇAMENTO!$D$15,CRONOPLE!$A$10,0),COLUMN(CÁLCULO!$AL$15)-COLUMN(CÁLCULO!$AA$15)-1))/OFFSET(ORÇAMENTO!$X$15,CRONOPLE!$A$10,0))))</f>
        <v>#NAME?</v>
      </c>
      <c r="V74" s="730"/>
      <c r="W74" s="730" t="e" cm="1">
        <f t="array" aca="1" ref="W74" ca="1">IF(OR(_xlfn.SINGLE(ACOMPANHAMENTO)&lt;&gt;"PLE",W69&gt;PLE.Medicao),0,
   IF(AUTOEVENTO="Manual",
      IF(AdmLocal="Automática",W72,
         IF(Import.EventoAdmLocal="","",SUMIF(OFFSET($G$14,CRONOPLE!$A$8+1,1,1,OFFSET($AG$12,0,-1)),"&lt;="&amp;W69,OFFSET(EVENTOS!$G$14,CRONOPLE!$A$8+1,1,1,OFFSET($AG$12,0,-1)))/OFFSET(EVENTOS!$G$14,CRONOPLE!$A$8+1,-1))),
      IF(Import.EventoAdmLocal="","",SUMIF(OFFSET(CÁLCULO!$AW$15,CRONOPLE!$A$10,1,OFFSET(ORÇAMENTO!$D$15,CRONOPLE!$A$10,0),COLUMN(CÁLCULO!$BH$15)-COLUMN(CÁLCULO!$AW$15)-1),"&lt;="&amp;W69,OFFSET(CÁLCULO!$AA$15,CRONOPLE!$A$10,1,OFFSET(ORÇAMENTO!$D$15,CRONOPLE!$A$10,0),COLUMN(CÁLCULO!$AL$15)-COLUMN(CÁLCULO!$AA$15)-1))/OFFSET(ORÇAMENTO!$X$15,CRONOPLE!$A$10,0))))</f>
        <v>#NAME?</v>
      </c>
      <c r="X74" s="730"/>
      <c r="Y74" s="730" t="e" cm="1">
        <f t="array" aca="1" ref="Y74" ca="1">IF(OR(_xlfn.SINGLE(ACOMPANHAMENTO)&lt;&gt;"PLE",Y69&gt;PLE.Medicao),0,
   IF(AUTOEVENTO="Manual",
      IF(AdmLocal="Automática",Y72,
         IF(Import.EventoAdmLocal="","",SUMIF(OFFSET($G$14,CRONOPLE!$A$8+1,1,1,OFFSET($AG$12,0,-1)),"&lt;="&amp;Y69,OFFSET(EVENTOS!$G$14,CRONOPLE!$A$8+1,1,1,OFFSET($AG$12,0,-1)))/OFFSET(EVENTOS!$G$14,CRONOPLE!$A$8+1,-1))),
      IF(Import.EventoAdmLocal="","",SUMIF(OFFSET(CÁLCULO!$AW$15,CRONOPLE!$A$10,1,OFFSET(ORÇAMENTO!$D$15,CRONOPLE!$A$10,0),COLUMN(CÁLCULO!$BH$15)-COLUMN(CÁLCULO!$AW$15)-1),"&lt;="&amp;Y69,OFFSET(CÁLCULO!$AA$15,CRONOPLE!$A$10,1,OFFSET(ORÇAMENTO!$D$15,CRONOPLE!$A$10,0),COLUMN(CÁLCULO!$AL$15)-COLUMN(CÁLCULO!$AA$15)-1))/OFFSET(ORÇAMENTO!$X$15,CRONOPLE!$A$10,0))))</f>
        <v>#NAME?</v>
      </c>
      <c r="Z74" s="730"/>
      <c r="AA74" s="730" t="e" cm="1">
        <f t="array" aca="1" ref="AA74" ca="1">IF(OR(_xlfn.SINGLE(ACOMPANHAMENTO)&lt;&gt;"PLE",AA69&gt;PLE.Medicao),0,
   IF(AUTOEVENTO="Manual",
      IF(AdmLocal="Automática",AA72,
         IF(Import.EventoAdmLocal="","",SUMIF(OFFSET($G$14,CRONOPLE!$A$8+1,1,1,OFFSET($AG$12,0,-1)),"&lt;="&amp;AA69,OFFSET(EVENTOS!$G$14,CRONOPLE!$A$8+1,1,1,OFFSET($AG$12,0,-1)))/OFFSET(EVENTOS!$G$14,CRONOPLE!$A$8+1,-1))),
      IF(Import.EventoAdmLocal="","",SUMIF(OFFSET(CÁLCULO!$AW$15,CRONOPLE!$A$10,1,OFFSET(ORÇAMENTO!$D$15,CRONOPLE!$A$10,0),COLUMN(CÁLCULO!$BH$15)-COLUMN(CÁLCULO!$AW$15)-1),"&lt;="&amp;AA69,OFFSET(CÁLCULO!$AA$15,CRONOPLE!$A$10,1,OFFSET(ORÇAMENTO!$D$15,CRONOPLE!$A$10,0),COLUMN(CÁLCULO!$AL$15)-COLUMN(CÁLCULO!$AA$15)-1))/OFFSET(ORÇAMENTO!$X$15,CRONOPLE!$A$10,0))))</f>
        <v>#NAME?</v>
      </c>
      <c r="AB74" s="730"/>
      <c r="AC74" s="730" t="e" cm="1">
        <f t="array" aca="1" ref="AC74" ca="1">IF(OR(_xlfn.SINGLE(ACOMPANHAMENTO)&lt;&gt;"PLE",AC69&gt;PLE.Medicao),0,
   IF(AUTOEVENTO="Manual",
      IF(AdmLocal="Automática",AC72,
         IF(Import.EventoAdmLocal="","",SUMIF(OFFSET($G$14,CRONOPLE!$A$8+1,1,1,OFFSET($AG$12,0,-1)),"&lt;="&amp;AC69,OFFSET(EVENTOS!$G$14,CRONOPLE!$A$8+1,1,1,OFFSET($AG$12,0,-1)))/OFFSET(EVENTOS!$G$14,CRONOPLE!$A$8+1,-1))),
      IF(Import.EventoAdmLocal="","",SUMIF(OFFSET(CÁLCULO!$AW$15,CRONOPLE!$A$10,1,OFFSET(ORÇAMENTO!$D$15,CRONOPLE!$A$10,0),COLUMN(CÁLCULO!$BH$15)-COLUMN(CÁLCULO!$AW$15)-1),"&lt;="&amp;AC69,OFFSET(CÁLCULO!$AA$15,CRONOPLE!$A$10,1,OFFSET(ORÇAMENTO!$D$15,CRONOPLE!$A$10,0),COLUMN(CÁLCULO!$AL$15)-COLUMN(CÁLCULO!$AA$15)-1))/OFFSET(ORÇAMENTO!$X$15,CRONOPLE!$A$10,0))))</f>
        <v>#NAME?</v>
      </c>
      <c r="AD74" s="730"/>
      <c r="AE74" s="730" t="e" cm="1">
        <f t="array" aca="1" ref="AE74" ca="1">IF(OR(_xlfn.SINGLE(ACOMPANHAMENTO)&lt;&gt;"PLE",AE69&gt;PLE.Medicao),0,
   IF(AUTOEVENTO="Manual",
      IF(AdmLocal="Automática",AE72,
         IF(Import.EventoAdmLocal="","",SUMIF(OFFSET($G$14,CRONOPLE!$A$8+1,1,1,OFFSET($AG$12,0,-1)),"&lt;="&amp;AE69,OFFSET(EVENTOS!$G$14,CRONOPLE!$A$8+1,1,1,OFFSET($AG$12,0,-1)))/OFFSET(EVENTOS!$G$14,CRONOPLE!$A$8+1,-1))),
      IF(Import.EventoAdmLocal="","",SUMIF(OFFSET(CÁLCULO!$AW$15,CRONOPLE!$A$10,1,OFFSET(ORÇAMENTO!$D$15,CRONOPLE!$A$10,0),COLUMN(CÁLCULO!$BH$15)-COLUMN(CÁLCULO!$AW$15)-1),"&lt;="&amp;AE69,OFFSET(CÁLCULO!$AA$15,CRONOPLE!$A$10,1,OFFSET(ORÇAMENTO!$D$15,CRONOPLE!$A$10,0),COLUMN(CÁLCULO!$AL$15)-COLUMN(CÁLCULO!$AA$15)-1))/OFFSET(ORÇAMENTO!$X$15,CRONOPLE!$A$10,0))))</f>
        <v>#NAME?</v>
      </c>
      <c r="AF74" s="730"/>
    </row>
    <row r="75" spans="1:32" ht="13.5" x14ac:dyDescent="0.25">
      <c r="A75" s="7" t="s">
        <v>538</v>
      </c>
      <c r="D75" s="524"/>
      <c r="H75" s="590" t="str">
        <f ca="1">IF(COUNTIF(I75:AG75,"%Adm&gt;%Global")&gt;0,"Verificar proporcionalidade da Administração Local","")</f>
        <v/>
      </c>
      <c r="I75" s="536" t="e">
        <f ca="1">IF(I74="","",IF(ROUND(I74,4)&gt;ROUND(I72,4),"%Adm&gt;%Global",""))</f>
        <v>#NAME?</v>
      </c>
      <c r="J75" s="525"/>
      <c r="K75" s="536" t="e">
        <f t="shared" ref="K75" ca="1" si="2">IF(K74="","",IF(ROUND(K74,4)&gt;ROUND(K72,4),"%Adm&gt;%Global",""))</f>
        <v>#NAME?</v>
      </c>
      <c r="L75" s="525"/>
      <c r="M75" s="536" t="e">
        <f t="shared" ref="M75" ca="1" si="3">IF(M74="","",IF(ROUND(M74,4)&gt;ROUND(M72,4),"%Adm&gt;%Global",""))</f>
        <v>#NAME?</v>
      </c>
      <c r="N75" s="525"/>
      <c r="O75" s="536" t="e">
        <f t="shared" ref="O75" ca="1" si="4">IF(O74="","",IF(ROUND(O74,4)&gt;ROUND(O72,4),"%Adm&gt;%Global",""))</f>
        <v>#NAME?</v>
      </c>
      <c r="P75" s="525"/>
      <c r="Q75" s="536" t="e">
        <f t="shared" ref="Q75" ca="1" si="5">IF(Q74="","",IF(ROUND(Q74,4)&gt;ROUND(Q72,4),"%Adm&gt;%Global",""))</f>
        <v>#NAME?</v>
      </c>
      <c r="R75" s="525"/>
      <c r="S75" s="536" t="e">
        <f t="shared" ref="S75" ca="1" si="6">IF(S74="","",IF(ROUND(S74,4)&gt;ROUND(S72,4),"%Adm&gt;%Global",""))</f>
        <v>#NAME?</v>
      </c>
      <c r="T75" s="525"/>
      <c r="U75" s="536" t="e">
        <f t="shared" ref="U75" ca="1" si="7">IF(U74="","",IF(ROUND(U74,4)&gt;ROUND(U72,4),"%Adm&gt;%Global",""))</f>
        <v>#NAME?</v>
      </c>
      <c r="V75" s="525"/>
      <c r="W75" s="536" t="e">
        <f t="shared" ref="W75" ca="1" si="8">IF(W74="","",IF(ROUND(W74,4)&gt;ROUND(W72,4),"%Adm&gt;%Global",""))</f>
        <v>#NAME?</v>
      </c>
      <c r="X75" s="525"/>
      <c r="Y75" s="536" t="e">
        <f t="shared" ref="Y75" ca="1" si="9">IF(Y74="","",IF(ROUND(Y74,4)&gt;ROUND(Y72,4),"%Adm&gt;%Global",""))</f>
        <v>#NAME?</v>
      </c>
      <c r="Z75" s="525"/>
      <c r="AA75" s="536" t="e">
        <f t="shared" ref="AA75" ca="1" si="10">IF(AA74="","",IF(ROUND(AA74,4)&gt;ROUND(AA72,4),"%Adm&gt;%Global",""))</f>
        <v>#NAME?</v>
      </c>
      <c r="AB75" s="525"/>
      <c r="AC75" s="536" t="e">
        <f t="shared" ref="AC75" ca="1" si="11">IF(AC74="","",IF(ROUND(AC74,4)&gt;ROUND(AC72,4),"%Adm&gt;%Global",""))</f>
        <v>#NAME?</v>
      </c>
      <c r="AD75" s="525"/>
      <c r="AE75" s="536" t="e">
        <f t="shared" ref="AE75" ca="1" si="12">IF(AE74="","",IF(ROUND(AE74,4)&gt;ROUND(AE72,4),"%Adm&gt;%Global",""))</f>
        <v>#NAME?</v>
      </c>
      <c r="AF75" s="525"/>
    </row>
    <row r="76" spans="1:32" ht="20.25" customHeight="1" x14ac:dyDescent="0.2">
      <c r="A76" s="7" t="s">
        <v>538</v>
      </c>
      <c r="I76" s="782"/>
      <c r="J76" s="782"/>
    </row>
    <row r="77" spans="1:32" ht="15" x14ac:dyDescent="0.25">
      <c r="A77" s="7" t="s">
        <v>538</v>
      </c>
      <c r="B77" s="713" t="str">
        <f>Import.Município</f>
        <v>CAÇAPAVA DO SUL/RS</v>
      </c>
      <c r="C77" s="713"/>
      <c r="D77" s="713"/>
      <c r="S77" s="568" t="str">
        <f ca="1">IF(DADOS!$D$50&lt;&gt;"","Preencher os Dados do Responsável pela Fiscalização, na aba DADOS.","")</f>
        <v/>
      </c>
      <c r="U77" s="140"/>
      <c r="V77" s="140"/>
      <c r="W77" s="140"/>
      <c r="X77" s="140"/>
      <c r="Y77" s="181"/>
      <c r="Z77" s="181"/>
      <c r="AA77" s="181"/>
      <c r="AB77" s="181"/>
      <c r="AC77" s="181"/>
      <c r="AD77" s="181"/>
    </row>
    <row r="78" spans="1:32" x14ac:dyDescent="0.2">
      <c r="A78" s="7" t="s">
        <v>538</v>
      </c>
      <c r="B78" s="9" t="s">
        <v>696</v>
      </c>
      <c r="U78" s="182" t="s">
        <v>846</v>
      </c>
    </row>
    <row r="79" spans="1:32" x14ac:dyDescent="0.2">
      <c r="A79" s="7" t="s">
        <v>538</v>
      </c>
      <c r="I79" s="79"/>
      <c r="U79" s="77" t="s">
        <v>241</v>
      </c>
      <c r="W79" s="272">
        <f t="array" ref="W79:W82">Import.RespFiscalização</f>
        <v>0</v>
      </c>
    </row>
    <row r="80" spans="1:32" x14ac:dyDescent="0.2">
      <c r="A80" s="7" t="s">
        <v>538</v>
      </c>
      <c r="B80" s="707">
        <f>DADOS!$C$48</f>
        <v>0</v>
      </c>
      <c r="C80" s="707"/>
      <c r="D80" s="707"/>
      <c r="I80" s="79"/>
      <c r="U80" s="77" t="s">
        <v>321</v>
      </c>
      <c r="W80" s="272">
        <v>0</v>
      </c>
    </row>
    <row r="81" spans="1:23" x14ac:dyDescent="0.2">
      <c r="A81" s="7" t="s">
        <v>538</v>
      </c>
      <c r="B81" s="141" t="s">
        <v>697</v>
      </c>
      <c r="C81" s="1"/>
      <c r="D81" s="1"/>
      <c r="I81" s="79"/>
      <c r="U81" s="77" t="s">
        <v>244</v>
      </c>
      <c r="W81" s="272">
        <v>0</v>
      </c>
    </row>
    <row r="82" spans="1:23" x14ac:dyDescent="0.2">
      <c r="U82" s="77" t="s">
        <v>247</v>
      </c>
      <c r="W82" s="12">
        <v>0</v>
      </c>
    </row>
  </sheetData>
  <sheetProtection password="BD1F" sheet="1" objects="1" scenarios="1" autoFilter="0"/>
  <autoFilter ref="A13:A81"/>
  <mergeCells count="156">
    <mergeCell ref="C63:D63"/>
    <mergeCell ref="C64:D64"/>
    <mergeCell ref="C54:D54"/>
    <mergeCell ref="C55:D55"/>
    <mergeCell ref="C56:D56"/>
    <mergeCell ref="C57:D57"/>
    <mergeCell ref="C58:D58"/>
    <mergeCell ref="C59:D59"/>
    <mergeCell ref="C60:D60"/>
    <mergeCell ref="C61:D61"/>
    <mergeCell ref="C62:D62"/>
    <mergeCell ref="C45:D45"/>
    <mergeCell ref="C46:D46"/>
    <mergeCell ref="C47:D47"/>
    <mergeCell ref="C48:D48"/>
    <mergeCell ref="C49:D49"/>
    <mergeCell ref="C50:D50"/>
    <mergeCell ref="C51:D51"/>
    <mergeCell ref="C52:D52"/>
    <mergeCell ref="C53:D53"/>
    <mergeCell ref="U73:V73"/>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21:D21"/>
    <mergeCell ref="O74:P74"/>
    <mergeCell ref="Q74:R74"/>
    <mergeCell ref="O73:P73"/>
    <mergeCell ref="O72:P72"/>
    <mergeCell ref="AC74:AD74"/>
    <mergeCell ref="AE74:AF74"/>
    <mergeCell ref="S74:T74"/>
    <mergeCell ref="U74:V74"/>
    <mergeCell ref="W74:X74"/>
    <mergeCell ref="Y74:Z74"/>
    <mergeCell ref="AA74:AB74"/>
    <mergeCell ref="W72:X72"/>
    <mergeCell ref="S72:T72"/>
    <mergeCell ref="AC73:AD73"/>
    <mergeCell ref="AA72:AB72"/>
    <mergeCell ref="AE73:AF73"/>
    <mergeCell ref="AE72:AF72"/>
    <mergeCell ref="Q72:R72"/>
    <mergeCell ref="Q73:R73"/>
    <mergeCell ref="Y73:Z73"/>
    <mergeCell ref="AA73:AB73"/>
    <mergeCell ref="S73:T73"/>
    <mergeCell ref="W73:X73"/>
    <mergeCell ref="AA68:AB68"/>
    <mergeCell ref="B12:B13"/>
    <mergeCell ref="C17:D17"/>
    <mergeCell ref="D70:D71"/>
    <mergeCell ref="C16:D16"/>
    <mergeCell ref="C18:D18"/>
    <mergeCell ref="C19:D19"/>
    <mergeCell ref="C20:D20"/>
    <mergeCell ref="O70:P70"/>
    <mergeCell ref="M70:N70"/>
    <mergeCell ref="K70:L70"/>
    <mergeCell ref="I67:AF67"/>
    <mergeCell ref="O68:P68"/>
    <mergeCell ref="AE68:AF68"/>
    <mergeCell ref="Y68:Z68"/>
    <mergeCell ref="Q70:R70"/>
    <mergeCell ref="AC69:AD69"/>
    <mergeCell ref="AA69:AB69"/>
    <mergeCell ref="Y70:Z70"/>
    <mergeCell ref="S68:T68"/>
    <mergeCell ref="U68:V68"/>
    <mergeCell ref="Q68:R68"/>
    <mergeCell ref="S70:T70"/>
    <mergeCell ref="U69:V69"/>
    <mergeCell ref="AE70:AF70"/>
    <mergeCell ref="S71:T71"/>
    <mergeCell ref="Q71:R71"/>
    <mergeCell ref="W69:X69"/>
    <mergeCell ref="AC71:AD71"/>
    <mergeCell ref="AC72:AD72"/>
    <mergeCell ref="AA71:AB71"/>
    <mergeCell ref="B7:C7"/>
    <mergeCell ref="C1:D1"/>
    <mergeCell ref="C11:D11"/>
    <mergeCell ref="C12:D13"/>
    <mergeCell ref="AD3:AF3"/>
    <mergeCell ref="AD4:AF4"/>
    <mergeCell ref="AE6:AF6"/>
    <mergeCell ref="H7:N7"/>
    <mergeCell ref="O7:U7"/>
    <mergeCell ref="AE7:AF7"/>
    <mergeCell ref="V7:AD7"/>
    <mergeCell ref="Y9:Z9"/>
    <mergeCell ref="AE9:AF9"/>
    <mergeCell ref="J9:K9"/>
    <mergeCell ref="N9:T9"/>
    <mergeCell ref="C15:D15"/>
    <mergeCell ref="W68:X68"/>
    <mergeCell ref="AC68:AD68"/>
    <mergeCell ref="Y69:Z69"/>
    <mergeCell ref="AA70:AB70"/>
    <mergeCell ref="Y71:Z71"/>
    <mergeCell ref="U71:V71"/>
    <mergeCell ref="AE71:AF71"/>
    <mergeCell ref="O69:P69"/>
    <mergeCell ref="B80:D80"/>
    <mergeCell ref="B77:D77"/>
    <mergeCell ref="D72:D73"/>
    <mergeCell ref="M72:N72"/>
    <mergeCell ref="M73:N73"/>
    <mergeCell ref="I73:J73"/>
    <mergeCell ref="K73:L73"/>
    <mergeCell ref="K72:L72"/>
    <mergeCell ref="I72:J72"/>
    <mergeCell ref="I76:J76"/>
    <mergeCell ref="I74:J74"/>
    <mergeCell ref="K74:L74"/>
    <mergeCell ref="M74:N74"/>
    <mergeCell ref="W70:X70"/>
    <mergeCell ref="U70:V70"/>
    <mergeCell ref="AC70:AD70"/>
    <mergeCell ref="AE69:AF69"/>
    <mergeCell ref="U72:V72"/>
    <mergeCell ref="Y72:Z72"/>
    <mergeCell ref="I68:J68"/>
    <mergeCell ref="M68:N68"/>
    <mergeCell ref="O71:P71"/>
    <mergeCell ref="M71:N71"/>
    <mergeCell ref="K71:L71"/>
    <mergeCell ref="I71:J71"/>
    <mergeCell ref="I69:J69"/>
    <mergeCell ref="I70:J70"/>
    <mergeCell ref="M69:N69"/>
    <mergeCell ref="W71:X71"/>
    <mergeCell ref="S69:T69"/>
    <mergeCell ref="Q69:R69"/>
    <mergeCell ref="K69:L69"/>
    <mergeCell ref="K68:L68"/>
  </mergeCells>
  <phoneticPr fontId="38" type="noConversion"/>
  <conditionalFormatting sqref="F1:F2">
    <cfRule type="expression" dxfId="114" priority="1807" stopIfTrue="1">
      <formula>IF(OR(ACOMPANHAMENTO="BM",F$12&gt;CÁLCULO.NúmeroDeFrentes),TRUE,PLE.ValorDoEvento=0)</formula>
    </cfRule>
    <cfRule type="cellIs" dxfId="113" priority="1808" stopIfTrue="1" operator="equal">
      <formula>$J$9</formula>
    </cfRule>
  </conditionalFormatting>
  <conditionalFormatting sqref="I70:AF70">
    <cfRule type="expression" dxfId="112" priority="1809" stopIfTrue="1">
      <formula>I69=$J$9</formula>
    </cfRule>
  </conditionalFormatting>
  <conditionalFormatting sqref="I71:AF71">
    <cfRule type="expression" dxfId="111" priority="1810" stopIfTrue="1">
      <formula>I69=$J$9</formula>
    </cfRule>
  </conditionalFormatting>
  <conditionalFormatting sqref="I72:AF72">
    <cfRule type="expression" dxfId="110" priority="1811" stopIfTrue="1">
      <formula>I69=$J$9</formula>
    </cfRule>
  </conditionalFormatting>
  <conditionalFormatting sqref="I73:AF73">
    <cfRule type="expression" dxfId="109" priority="1812" stopIfTrue="1">
      <formula>I69=$J$9</formula>
    </cfRule>
  </conditionalFormatting>
  <conditionalFormatting sqref="I69:J69">
    <cfRule type="cellIs" dxfId="108" priority="1806" stopIfTrue="1" operator="notEqual">
      <formula>1</formula>
    </cfRule>
  </conditionalFormatting>
  <conditionalFormatting sqref="H1:AF1">
    <cfRule type="expression" dxfId="107" priority="1824" stopIfTrue="1">
      <formula>IF(OR(ACOMPANHAMENTO="BM",TIPOORCAMENTO="Proposto",H$12&gt;CÁLCULO.NúmeroDeFrentes),TRUE,PLE.ValorDoEvento=0)</formula>
    </cfRule>
    <cfRule type="cellIs" dxfId="106" priority="1825" stopIfTrue="1" operator="equal">
      <formula>$J$9</formula>
    </cfRule>
  </conditionalFormatting>
  <conditionalFormatting sqref="AE6:AE7">
    <cfRule type="expression" dxfId="105" priority="1813" stopIfTrue="1">
      <formula>TIPOORCAMENTO&lt;&gt;"Licitado"</formula>
    </cfRule>
  </conditionalFormatting>
  <conditionalFormatting sqref="N9:T9">
    <cfRule type="expression" dxfId="104" priority="1814" stopIfTrue="1">
      <formula>COLUMN(N9)&gt;COLUMN($AF$12)</formula>
    </cfRule>
    <cfRule type="expression" dxfId="103" priority="1815" stopIfTrue="1">
      <formula>$N$9="DIGITE A DATA DA MEDIÇÃO"</formula>
    </cfRule>
  </conditionalFormatting>
  <conditionalFormatting sqref="I9:M9 U9:AF9">
    <cfRule type="expression" dxfId="102" priority="1816" stopIfTrue="1">
      <formula>COLUMN(I9)&gt;COLUMN($AF$12)</formula>
    </cfRule>
  </conditionalFormatting>
  <conditionalFormatting sqref="K70:AF73">
    <cfRule type="expression" dxfId="101" priority="822" stopIfTrue="1">
      <formula>I$72=100%</formula>
    </cfRule>
  </conditionalFormatting>
  <conditionalFormatting sqref="J75 L75 N75 P75 R75 T75 V75 X75 Z75 AB75 AD75 AF75">
    <cfRule type="expression" dxfId="100" priority="13533" stopIfTrue="1">
      <formula>J70=$J$9</formula>
    </cfRule>
  </conditionalFormatting>
  <conditionalFormatting sqref="K74:AF74">
    <cfRule type="expression" dxfId="99" priority="821">
      <formula>OFFSET(K74,-2,-2)=1</formula>
    </cfRule>
  </conditionalFormatting>
  <conditionalFormatting sqref="I74:AF74">
    <cfRule type="expression" dxfId="98" priority="820">
      <formula>ROUND(I74,4)&gt;ROUND(I72,4)</formula>
    </cfRule>
  </conditionalFormatting>
  <conditionalFormatting sqref="N13">
    <cfRule type="expression" dxfId="97" priority="819">
      <formula>$Y$9=0</formula>
    </cfRule>
  </conditionalFormatting>
  <conditionalFormatting sqref="F16:F24">
    <cfRule type="expression" dxfId="96" priority="21" stopIfTrue="1">
      <formula>IF(OR(ACOMPANHAMENTO="BM",F$12&gt;CÁLCULO.NúmeroDeFrentes),TRUE,PLE.ValorDoEvento=0)</formula>
    </cfRule>
    <cfRule type="cellIs" dxfId="95" priority="22" stopIfTrue="1" operator="equal">
      <formula>$J$9</formula>
    </cfRule>
  </conditionalFormatting>
  <conditionalFormatting sqref="H16:AF24">
    <cfRule type="expression" dxfId="94" priority="23" stopIfTrue="1">
      <formula>IF(OR(ACOMPANHAMENTO="BM",TIPOORCAMENTO="Proposto",H$12&gt;CÁLCULO.NúmeroDeFrentes),TRUE,PLE.ValorDoEvento=0)</formula>
    </cfRule>
    <cfRule type="cellIs" dxfId="93" priority="24" stopIfTrue="1" operator="equal">
      <formula>$J$9</formula>
    </cfRule>
  </conditionalFormatting>
  <conditionalFormatting sqref="F25:F33">
    <cfRule type="expression" dxfId="92" priority="17" stopIfTrue="1">
      <formula>IF(OR(ACOMPANHAMENTO="BM",F$12&gt;CÁLCULO.NúmeroDeFrentes),TRUE,PLE.ValorDoEvento=0)</formula>
    </cfRule>
    <cfRule type="cellIs" dxfId="91" priority="18" stopIfTrue="1" operator="equal">
      <formula>$J$9</formula>
    </cfRule>
  </conditionalFormatting>
  <conditionalFormatting sqref="H25:AF33">
    <cfRule type="expression" dxfId="90" priority="19" stopIfTrue="1">
      <formula>IF(OR(ACOMPANHAMENTO="BM",TIPOORCAMENTO="Proposto",H$12&gt;CÁLCULO.NúmeroDeFrentes),TRUE,PLE.ValorDoEvento=0)</formula>
    </cfRule>
    <cfRule type="cellIs" dxfId="89" priority="20" stopIfTrue="1" operator="equal">
      <formula>$J$9</formula>
    </cfRule>
  </conditionalFormatting>
  <conditionalFormatting sqref="F34:F42">
    <cfRule type="expression" dxfId="88" priority="13" stopIfTrue="1">
      <formula>IF(OR(ACOMPANHAMENTO="BM",F$12&gt;CÁLCULO.NúmeroDeFrentes),TRUE,PLE.ValorDoEvento=0)</formula>
    </cfRule>
    <cfRule type="cellIs" dxfId="87" priority="14" stopIfTrue="1" operator="equal">
      <formula>$J$9</formula>
    </cfRule>
  </conditionalFormatting>
  <conditionalFormatting sqref="H34:AF42">
    <cfRule type="expression" dxfId="86" priority="15" stopIfTrue="1">
      <formula>IF(OR(ACOMPANHAMENTO="BM",TIPOORCAMENTO="Proposto",H$12&gt;CÁLCULO.NúmeroDeFrentes),TRUE,PLE.ValorDoEvento=0)</formula>
    </cfRule>
    <cfRule type="cellIs" dxfId="85" priority="16" stopIfTrue="1" operator="equal">
      <formula>$J$9</formula>
    </cfRule>
  </conditionalFormatting>
  <conditionalFormatting sqref="F43:F51">
    <cfRule type="expression" dxfId="84" priority="9" stopIfTrue="1">
      <formula>IF(OR(ACOMPANHAMENTO="BM",F$12&gt;CÁLCULO.NúmeroDeFrentes),TRUE,PLE.ValorDoEvento=0)</formula>
    </cfRule>
    <cfRule type="cellIs" dxfId="83" priority="10" stopIfTrue="1" operator="equal">
      <formula>$J$9</formula>
    </cfRule>
  </conditionalFormatting>
  <conditionalFormatting sqref="H43:AF51">
    <cfRule type="expression" dxfId="82" priority="11" stopIfTrue="1">
      <formula>IF(OR(ACOMPANHAMENTO="BM",TIPOORCAMENTO="Proposto",H$12&gt;CÁLCULO.NúmeroDeFrentes),TRUE,PLE.ValorDoEvento=0)</formula>
    </cfRule>
    <cfRule type="cellIs" dxfId="81" priority="12" stopIfTrue="1" operator="equal">
      <formula>$J$9</formula>
    </cfRule>
  </conditionalFormatting>
  <conditionalFormatting sqref="F52:F60">
    <cfRule type="expression" dxfId="80" priority="5" stopIfTrue="1">
      <formula>IF(OR(ACOMPANHAMENTO="BM",F$12&gt;CÁLCULO.NúmeroDeFrentes),TRUE,PLE.ValorDoEvento=0)</formula>
    </cfRule>
    <cfRule type="cellIs" dxfId="79" priority="6" stopIfTrue="1" operator="equal">
      <formula>$J$9</formula>
    </cfRule>
  </conditionalFormatting>
  <conditionalFormatting sqref="H52:AF60">
    <cfRule type="expression" dxfId="78" priority="7" stopIfTrue="1">
      <formula>IF(OR(ACOMPANHAMENTO="BM",TIPOORCAMENTO="Proposto",H$12&gt;CÁLCULO.NúmeroDeFrentes),TRUE,PLE.ValorDoEvento=0)</formula>
    </cfRule>
    <cfRule type="cellIs" dxfId="77" priority="8" stopIfTrue="1" operator="equal">
      <formula>$J$9</formula>
    </cfRule>
  </conditionalFormatting>
  <conditionalFormatting sqref="F61:F64">
    <cfRule type="expression" dxfId="76" priority="1" stopIfTrue="1">
      <formula>IF(OR(ACOMPANHAMENTO="BM",F$12&gt;CÁLCULO.NúmeroDeFrentes),TRUE,PLE.ValorDoEvento=0)</formula>
    </cfRule>
    <cfRule type="cellIs" dxfId="75" priority="2" stopIfTrue="1" operator="equal">
      <formula>$J$9</formula>
    </cfRule>
  </conditionalFormatting>
  <conditionalFormatting sqref="H61:AF64">
    <cfRule type="expression" dxfId="74" priority="3" stopIfTrue="1">
      <formula>IF(OR(ACOMPANHAMENTO="BM",TIPOORCAMENTO="Proposto",H$12&gt;CÁLCULO.NúmeroDeFrentes),TRUE,PLE.ValorDoEvento=0)</formula>
    </cfRule>
    <cfRule type="cellIs" dxfId="73" priority="4" stopIfTrue="1" operator="equal">
      <formula>$J$9</formula>
    </cfRule>
  </conditionalFormatting>
  <dataValidations count="3">
    <dataValidation type="whole" operator="greaterThan" allowBlank="1" showErrorMessage="1" sqref="I3:AC4 J9:K9 F1:F4 F16:F64">
      <formula1>0</formula1>
      <formula2>0</formula2>
    </dataValidation>
    <dataValidation allowBlank="1" showInputMessage="1" showErrorMessage="1" prompt="Digite a data de medição abaixo dos eventos." sqref="N9:T9">
      <formula1>0</formula1>
      <formula2>0</formula2>
    </dataValidation>
    <dataValidation type="whole" operator="equal" allowBlank="1" showErrorMessage="1" errorTitle="Errp de entrada" error="Preencha somente com o número da medição atual." sqref="H1:AF1 H16:AF64">
      <formula1>PLE.Medicao</formula1>
    </dataValidation>
  </dataValidations>
  <printOptions horizontalCentered="1"/>
  <pageMargins left="0.78740157480314998" right="0.78740157480314998" top="0.78740157480314998" bottom="0.78740157480314998" header="0.59055118110236204" footer="0.59055118110236204"/>
  <pageSetup paperSize="9" scale="69" firstPageNumber="0" orientation="landscape" r:id="rId1"/>
  <headerFooter alignWithMargins="0">
    <oddHeader>&amp;C&amp;14I</oddHeader>
    <oddFooter>&amp;LPMv3.10&amp;R&amp;P /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46" r:id="rId4" name="Botão de rotação 275">
              <controlPr defaultSize="0" print="0" autoFill="0" autoLine="0" autoPict="0">
                <anchor moveWithCells="1" sizeWithCells="1">
                  <from>
                    <xdr:col>11</xdr:col>
                    <xdr:colOff>0</xdr:colOff>
                    <xdr:row>8</xdr:row>
                    <xdr:rowOff>9525</xdr:rowOff>
                  </from>
                  <to>
                    <xdr:col>11</xdr:col>
                    <xdr:colOff>219075</xdr:colOff>
                    <xdr:row>9</xdr:row>
                    <xdr:rowOff>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13">
    <pageSetUpPr fitToPage="1"/>
  </sheetPr>
  <dimension ref="A1:AO42"/>
  <sheetViews>
    <sheetView showGridLines="0" zoomScaleNormal="100" zoomScaleSheetLayoutView="90" workbookViewId="0">
      <pane xSplit="7" ySplit="15" topLeftCell="H16" activePane="bottomRight" state="frozen"/>
      <selection pane="topRight" activeCell="H1" sqref="H1"/>
      <selection pane="bottomLeft" activeCell="C16" sqref="C16"/>
      <selection pane="bottomRight"/>
    </sheetView>
  </sheetViews>
  <sheetFormatPr defaultRowHeight="12.75" x14ac:dyDescent="0.2"/>
  <cols>
    <col min="1" max="2" width="6.5703125" hidden="1" customWidth="1"/>
    <col min="3" max="3" width="3.5703125" customWidth="1"/>
    <col min="4" max="4" width="10.5703125" customWidth="1"/>
    <col min="5" max="5" width="65.5703125" customWidth="1"/>
    <col min="6" max="6" width="7.5703125" customWidth="1"/>
    <col min="7" max="7" width="11.5703125" customWidth="1"/>
    <col min="8" max="8" width="14.5703125" customWidth="1"/>
    <col min="9" max="9" width="18.5703125" customWidth="1"/>
    <col min="10" max="12" width="11.5703125" customWidth="1"/>
    <col min="13" max="15" width="18.5703125" customWidth="1"/>
    <col min="17" max="18" width="11.5703125" hidden="1" customWidth="1"/>
    <col min="19" max="19" width="9.140625" hidden="1" customWidth="1"/>
    <col min="20" max="20" width="10.5703125" hidden="1" customWidth="1"/>
    <col min="21" max="21" width="65.5703125" hidden="1" customWidth="1"/>
    <col min="22" max="22" width="7.5703125" hidden="1" customWidth="1"/>
    <col min="23" max="23" width="11.5703125" hidden="1" customWidth="1"/>
    <col min="24" max="24" width="14.5703125" hidden="1" customWidth="1"/>
    <col min="25" max="25" width="18.5703125" hidden="1" customWidth="1"/>
    <col min="26" max="26" width="25.5703125" hidden="1" customWidth="1"/>
    <col min="27" max="27" width="9.140625" hidden="1" customWidth="1"/>
    <col min="28" max="39" width="11.5703125" customWidth="1"/>
    <col min="40" max="40" width="10.42578125" customWidth="1"/>
    <col min="41" max="41" width="9.140625" hidden="1" customWidth="1"/>
  </cols>
  <sheetData>
    <row r="1" spans="1:41" ht="15.75" x14ac:dyDescent="0.2">
      <c r="E1" s="319" t="str">
        <f>IF(CAIXA.Modo,"BA - Boletim de Aferição","BM - Boletim de Medição")</f>
        <v>BM - Boletim de Medição</v>
      </c>
      <c r="G1" s="320"/>
      <c r="J1" s="320"/>
      <c r="K1" s="320"/>
      <c r="L1" s="320"/>
      <c r="M1" s="320"/>
      <c r="N1" s="320"/>
      <c r="O1" s="52" t="s">
        <v>646</v>
      </c>
    </row>
    <row r="2" spans="1:41" ht="15" x14ac:dyDescent="0.2">
      <c r="A2" s="321" t="s">
        <v>847</v>
      </c>
      <c r="B2" s="2"/>
      <c r="E2" s="322" t="str">
        <f ca="1">IF(Import.RegimeExecução="(SELECIONAR)","Selecione o Regime de Execução na Aba Dados",Import.RegimeExecução&amp;" - "&amp;import.recurso)</f>
        <v>Selecione o Regime de Execução na Aba Dados</v>
      </c>
      <c r="O2" s="11" t="s">
        <v>649</v>
      </c>
    </row>
    <row r="3" spans="1:41" x14ac:dyDescent="0.2">
      <c r="A3" s="805" t="b">
        <v>0</v>
      </c>
      <c r="B3" s="805"/>
      <c r="E3" s="86"/>
    </row>
    <row r="4" spans="1:41" x14ac:dyDescent="0.2">
      <c r="D4" s="689" t="s">
        <v>654</v>
      </c>
      <c r="E4" s="689"/>
      <c r="F4" s="701" t="s">
        <v>652</v>
      </c>
      <c r="G4" s="701"/>
      <c r="H4" s="701"/>
      <c r="I4" s="146" t="s">
        <v>710</v>
      </c>
      <c r="J4" s="689" t="s">
        <v>711</v>
      </c>
      <c r="K4" s="689"/>
      <c r="L4" s="689"/>
      <c r="M4" s="689"/>
      <c r="N4" s="689"/>
      <c r="O4" s="148" t="s">
        <v>848</v>
      </c>
    </row>
    <row r="5" spans="1:41" ht="12.75" customHeight="1" x14ac:dyDescent="0.2">
      <c r="A5" t="s">
        <v>849</v>
      </c>
      <c r="D5" s="693" t="str">
        <f>Import.Proponente</f>
        <v>PREFEITURA MUNICIPAL</v>
      </c>
      <c r="E5" s="693"/>
      <c r="F5" s="706">
        <f>Import.CR</f>
        <v>0</v>
      </c>
      <c r="G5" s="706"/>
      <c r="H5" s="706"/>
      <c r="I5" s="323">
        <f>Import.TransfereGOV</f>
        <v>0</v>
      </c>
      <c r="J5" s="693" t="str">
        <f>Import.Apelido</f>
        <v>COBERTURA DE QUADRA</v>
      </c>
      <c r="K5" s="693"/>
      <c r="L5" s="693"/>
      <c r="M5" s="693"/>
      <c r="N5" s="693"/>
      <c r="O5" s="324">
        <f>Import.DataInicioObra</f>
        <v>0</v>
      </c>
      <c r="AO5" s="325" t="s">
        <v>850</v>
      </c>
    </row>
    <row r="6" spans="1:41" ht="5.0999999999999996" customHeight="1" x14ac:dyDescent="0.2">
      <c r="D6" s="94"/>
      <c r="E6" s="95"/>
      <c r="F6" s="94"/>
      <c r="G6" s="94"/>
      <c r="H6" s="94"/>
      <c r="I6" s="94"/>
      <c r="J6" s="94"/>
      <c r="K6" s="94"/>
      <c r="L6" s="94"/>
      <c r="M6" s="94"/>
      <c r="N6" s="94"/>
      <c r="O6" s="94"/>
      <c r="AO6" s="326"/>
    </row>
    <row r="7" spans="1:41" ht="12.75" customHeight="1" x14ac:dyDescent="0.2">
      <c r="A7" t="str">
        <f ca="1">RegimeExecucao</f>
        <v>Unitário</v>
      </c>
      <c r="D7" s="88" t="s">
        <v>851</v>
      </c>
      <c r="E7" s="88" t="s">
        <v>852</v>
      </c>
      <c r="F7" s="689" t="s">
        <v>853</v>
      </c>
      <c r="G7" s="689"/>
      <c r="H7" s="689"/>
      <c r="I7" s="689" t="str">
        <f>IF(TIPOORCAMENTO="Licitado","REGIME DE EXECUÇÃO","MUNICÍPIO / UF")</f>
        <v>MUNICÍPIO / UF</v>
      </c>
      <c r="J7" s="689"/>
      <c r="K7" s="689"/>
      <c r="L7" s="689"/>
      <c r="M7" s="689" t="s">
        <v>854</v>
      </c>
      <c r="N7" s="689"/>
      <c r="O7" s="88" t="s">
        <v>855</v>
      </c>
      <c r="AO7" s="276">
        <f ca="1">BM.MEDAcumulado</f>
        <v>0</v>
      </c>
    </row>
    <row r="8" spans="1:41" ht="12.75" customHeight="1" x14ac:dyDescent="0.2">
      <c r="A8" s="321" t="s">
        <v>856</v>
      </c>
      <c r="B8" s="2"/>
      <c r="C8" s="682" t="s">
        <v>657</v>
      </c>
      <c r="D8" s="327">
        <f>Import.CTEF</f>
        <v>0</v>
      </c>
      <c r="E8" s="56">
        <f>Import.empresa</f>
        <v>0</v>
      </c>
      <c r="F8" s="693">
        <f>Import.CNPJ</f>
        <v>0</v>
      </c>
      <c r="G8" s="693"/>
      <c r="H8" s="693"/>
      <c r="I8" s="693" t="str">
        <f>IF(TIPOORCAMENTO="Licitado",Import.RegimeExecução,Import.Município)</f>
        <v>CAÇAPAVA DO SUL/RS</v>
      </c>
      <c r="J8" s="693"/>
      <c r="K8" s="693"/>
      <c r="L8" s="693"/>
      <c r="M8" s="693" t="str" cm="1">
        <f t="array" aca="1" ref="M8" ca="1">TEXT(IF(BM.medicao=1,Import.DataInicioObra,OFFSET($AB$12,0,BM.medicao-1-$AB$13)+1),"dd/mm/aaaa")&amp;" a "&amp;TEXT(OFFSET($AB$12,0,BM.medicao-$AB$13),"dd/mm/aaaa")</f>
        <v>00/01/1900 a 00/01/1900</v>
      </c>
      <c r="N8" s="693"/>
      <c r="O8" s="423">
        <v>1</v>
      </c>
    </row>
    <row r="9" spans="1:41" ht="12.75" customHeight="1" x14ac:dyDescent="0.2">
      <c r="A9" s="565" t="b">
        <v>1</v>
      </c>
      <c r="B9" s="4"/>
      <c r="C9" s="682"/>
    </row>
    <row r="10" spans="1:41" ht="13.35" customHeight="1" x14ac:dyDescent="0.2">
      <c r="A10" s="411" t="s">
        <v>857</v>
      </c>
      <c r="B10" s="412"/>
      <c r="C10" s="682"/>
      <c r="E10" s="562"/>
      <c r="F10" s="804" t="e" cm="1">
        <f t="array" aca="1" ref="F10" ca="1">IF(_xlfn.SINGLE(ACOMPANHAMENTO)="PLE","Foi selecionado na aba 'MENU' o acompanhamento por PLE.",
  IF(_xlfn.SINGLE(TIPOORCAMENTO)="Proposto","Altere na aba 'MENU' o tipo de orçamento para 'Licitado'.",
  IF(_xlfn.SINGLE(Import.RegimeExecução)="(SELECIONAR)",UPPER($E$2),
  IF(AND(BM.medicao=1,DADOS!$C$47=0),"PREENCHER A DATA DE INÍCIO DA OBRA, NA ABA DADOS",
  IF($N$15=0,"PREENCHER A MEDIÇÃO "&amp;BM.medicao,
  IF($AB$10&lt;&gt;"",UPPER($AB$10),
  IF($J$37&lt;&gt;"",UPPER($J$37),
 "")))))))</f>
        <v>#NAME?</v>
      </c>
      <c r="G10" s="804"/>
      <c r="H10" s="804"/>
      <c r="I10" s="804"/>
      <c r="O10" s="564" t="e">
        <f ca="1">"Realizado Acumulado: "&amp;TEXT(P10,"0,00%")</f>
        <v>#NAME?</v>
      </c>
      <c r="P10" s="567" t="e">
        <f ca="1">ROUND($O$15/($I$15+10^-12),4)</f>
        <v>#NAME?</v>
      </c>
      <c r="AB10" s="577" t="str">
        <f ca="1">IF(INDEX($AB$12:$AN$12,MATCH($O$8,$AB$13:$AN$13,0))=0,"Preencher a data da medição "&amp;$O$8,"")</f>
        <v>Preencher a data da medição 1</v>
      </c>
    </row>
    <row r="11" spans="1:41" ht="15" customHeight="1" x14ac:dyDescent="0.25">
      <c r="A11" s="566" t="e">
        <f ca="1">OFFSET(CRONO!$F$13,CRONO!$F$37,0)</f>
        <v>#VALUE!</v>
      </c>
      <c r="B11" s="419"/>
      <c r="C11" s="682"/>
      <c r="E11" s="562"/>
      <c r="F11" s="804"/>
      <c r="G11" s="804"/>
      <c r="H11" s="804"/>
      <c r="I11" s="804"/>
      <c r="N11" s="563"/>
      <c r="O11" s="564" t="str">
        <f ca="1">IF(ISERROR(P11),"","Administração Local Acumulada: "&amp;TEXT(P11,"0,00%"))</f>
        <v/>
      </c>
      <c r="P11" s="567" t="e">
        <f ca="1">OFFSET($O$15,$A$11,0)/OFFSET($I$15,$A$11,0)</f>
        <v>#VALUE!</v>
      </c>
      <c r="T11" s="803" t="s">
        <v>858</v>
      </c>
      <c r="U11" s="803"/>
      <c r="Z11" s="4"/>
      <c r="AB11" s="792" t="s">
        <v>859</v>
      </c>
      <c r="AC11" s="792"/>
      <c r="AD11" s="792"/>
      <c r="AE11" s="792"/>
      <c r="AF11" s="792"/>
      <c r="AG11" s="792"/>
      <c r="AH11" s="792"/>
      <c r="AI11" s="792"/>
      <c r="AJ11" s="792"/>
      <c r="AK11" s="792"/>
      <c r="AL11" s="792"/>
      <c r="AM11" s="792"/>
    </row>
    <row r="12" spans="1:41" ht="15" customHeight="1" x14ac:dyDescent="0.25">
      <c r="C12" s="682"/>
      <c r="E12" s="84" t="s">
        <v>860</v>
      </c>
      <c r="J12" s="695" t="str">
        <f ca="1">"Evolução Física "&amp;CHOOSE(MATCH(RegimeExecucao,{"Unitário","Global"},0),"(Qtde.)","(%)")</f>
        <v>Evolução Física (Qtde.)</v>
      </c>
      <c r="K12" s="695"/>
      <c r="L12" s="695"/>
      <c r="M12" s="695" t="s">
        <v>861</v>
      </c>
      <c r="N12" s="695"/>
      <c r="O12" s="695"/>
      <c r="Q12" s="695" t="str">
        <f ca="1">"Aferido (CAIXA) "&amp;CHOOSE(MATCH(RegimeExecucao,{"Unitário","Global"},0),"(Qtde.)","(%)")</f>
        <v>Aferido (CAIXA) (Qtde.)</v>
      </c>
      <c r="R12" s="695"/>
      <c r="T12" s="328" t="s">
        <v>862</v>
      </c>
      <c r="U12" s="181"/>
      <c r="V12" s="181"/>
      <c r="W12" s="181"/>
      <c r="X12" s="181"/>
      <c r="Y12" s="181"/>
      <c r="Z12" s="42"/>
      <c r="AB12" s="329"/>
      <c r="AC12" s="330"/>
      <c r="AD12" s="330"/>
      <c r="AE12" s="330"/>
      <c r="AF12" s="330"/>
      <c r="AG12" s="330"/>
      <c r="AH12" s="330"/>
      <c r="AI12" s="330"/>
      <c r="AJ12" s="330"/>
      <c r="AK12" s="330"/>
      <c r="AL12" s="330"/>
      <c r="AM12" s="331"/>
    </row>
    <row r="13" spans="1:41" ht="45" customHeight="1" x14ac:dyDescent="0.2">
      <c r="A13" s="108" t="s">
        <v>729</v>
      </c>
      <c r="B13" s="108" t="s">
        <v>728</v>
      </c>
      <c r="C13" s="107" t="s">
        <v>662</v>
      </c>
      <c r="D13" s="293" t="s">
        <v>738</v>
      </c>
      <c r="E13" s="293" t="s">
        <v>119</v>
      </c>
      <c r="F13" s="332" t="s">
        <v>741</v>
      </c>
      <c r="G13" s="293" t="s">
        <v>715</v>
      </c>
      <c r="H13" s="293" t="s">
        <v>742</v>
      </c>
      <c r="I13" s="293" t="s">
        <v>743</v>
      </c>
      <c r="J13" s="293" t="s">
        <v>863</v>
      </c>
      <c r="K13" s="293" t="s">
        <v>864</v>
      </c>
      <c r="L13" s="293" t="s">
        <v>865</v>
      </c>
      <c r="M13" s="293" t="s">
        <v>863</v>
      </c>
      <c r="N13" s="293" t="s">
        <v>864</v>
      </c>
      <c r="O13" s="293" t="s">
        <v>865</v>
      </c>
      <c r="Q13" s="293" t="s">
        <v>863</v>
      </c>
      <c r="R13" s="293" t="s">
        <v>865</v>
      </c>
      <c r="T13" s="293" t="s">
        <v>738</v>
      </c>
      <c r="U13" s="293" t="s">
        <v>119</v>
      </c>
      <c r="V13" s="332" t="str">
        <f ca="1">IF(RegimeExecucao="Unitário","Unidade","")</f>
        <v>Unidade</v>
      </c>
      <c r="W13" s="293" t="str">
        <f ca="1">CHOOSE(MATCH(RegimeExecucao,{"Unitário","Global"},0),"Quant. Glosada (unid)","Percentual Glosado (%)")</f>
        <v>Quant. Glosada (unid)</v>
      </c>
      <c r="X13" s="293" t="str">
        <f ca="1">CHOOSE(MATCH(RegimeExecucao,{"Unitário","Global"},0),"Preço Unitário (R$)","Valor Total do Item (R$)")</f>
        <v>Preço Unitário (R$)</v>
      </c>
      <c r="Y13" s="293" t="s">
        <v>866</v>
      </c>
      <c r="Z13" s="293" t="s">
        <v>867</v>
      </c>
      <c r="AA13" s="113"/>
      <c r="AB13" s="333" cm="1">
        <f t="array" aca="1" ref="AB13" ca="1">IF(BM.medicao&lt;=12,1,TRUNC((BM.medicao - 2)/11,0) * 11 + 1)</f>
        <v>1</v>
      </c>
      <c r="AC13" s="333">
        <f ca="1">OFFSET(AC13,0,-1)+1</f>
        <v>2</v>
      </c>
      <c r="AD13" s="333">
        <f t="shared" ref="AD13:AM13" ca="1" si="0">OFFSET(AD13,0,-1)+1</f>
        <v>3</v>
      </c>
      <c r="AE13" s="333">
        <f t="shared" ca="1" si="0"/>
        <v>4</v>
      </c>
      <c r="AF13" s="333">
        <f t="shared" ca="1" si="0"/>
        <v>5</v>
      </c>
      <c r="AG13" s="333">
        <f t="shared" ca="1" si="0"/>
        <v>6</v>
      </c>
      <c r="AH13" s="333">
        <f t="shared" ca="1" si="0"/>
        <v>7</v>
      </c>
      <c r="AI13" s="333">
        <f t="shared" ca="1" si="0"/>
        <v>8</v>
      </c>
      <c r="AJ13" s="333">
        <f t="shared" ca="1" si="0"/>
        <v>9</v>
      </c>
      <c r="AK13" s="333">
        <f t="shared" ca="1" si="0"/>
        <v>10</v>
      </c>
      <c r="AL13" s="333">
        <f t="shared" ca="1" si="0"/>
        <v>11</v>
      </c>
      <c r="AM13" s="333">
        <f t="shared" ca="1" si="0"/>
        <v>12</v>
      </c>
      <c r="AO13" s="108" t="s">
        <v>868</v>
      </c>
    </row>
    <row r="14" spans="1:41" hidden="1" x14ac:dyDescent="0.2">
      <c r="A14" t="str">
        <f ca="1">ORÇAMENTO!C14</f>
        <v>S</v>
      </c>
      <c r="B14">
        <f ca="1">ORÇAMENTO!D14</f>
        <v>0</v>
      </c>
      <c r="C14" s="115" t="str">
        <f ca="1">IF(OR($I14&gt;0,$A14=1,$A14=2,$A14=3,$A14=4),"F","")</f>
        <v/>
      </c>
      <c r="D14" s="118" t="str">
        <f ca="1">ORÇAMENTO!O14</f>
        <v>-</v>
      </c>
      <c r="E14" s="164" t="str">
        <f ca="1">ORÇAMENTO.Descricao</f>
        <v>(abra o arquivo 'Referência 03-2025.xlsm)</v>
      </c>
      <c r="F14" s="165" t="str">
        <f ca="1">IF(RegimeExecucao="Global","",ORÇAMENTO.Unidade)</f>
        <v>-</v>
      </c>
      <c r="G14" s="123">
        <f ca="1">IF(RegimeExecucao="Global","",ORÇAMENTO!T14)</f>
        <v>0</v>
      </c>
      <c r="H14" s="123">
        <f ca="1">IF(RegimeExecucao="Global","",ORÇAMENTO!W14)</f>
        <v>0</v>
      </c>
      <c r="I14" s="126">
        <f ca="1">ORÇAMENTO!X14</f>
        <v>0</v>
      </c>
      <c r="J14" s="334" t="e" cm="1">
        <f t="array" aca="1" ref="J14" ca="1">_xlfn.SINGLE(IF($A14="S",IF(CAIXA.Modo,BM.AFAnterior,BM.MEDAnterior),IF(AND(_xlfn.SINGLE(RegimeExecucao)="Global",$I14&gt;0,COUNTIF($AB$13:$AM$13,BM.medicao-1)&gt;0),M14/$I14*100,0)))</f>
        <v>#NAME?</v>
      </c>
      <c r="K14" s="123" t="e">
        <f ca="1">L14-J14</f>
        <v>#NAME?</v>
      </c>
      <c r="L14" s="335" t="e" cm="1">
        <f t="array" aca="1" ref="L14" ca="1">_xlfn.SINGLE(IF($A14="S",IF(CAIXA.Modo,BM.AFAcumulado,BM.MEDAcumulado),IF(AND(_xlfn.SINGLE(RegimeExecucao)="Global",$I14&gt;0,COUNTIF($AB$13:$AM$13,BM.medicao)&gt;0),O14/$I14*100,0)))</f>
        <v>#NAME?</v>
      </c>
      <c r="M14" s="336">
        <f ca="1">IF($A14="S",VTOTALBM,IF($A14=0,0,ROUND(SomaAgrupBM,15-13*ORÇAMENTO!$AF$11)))</f>
        <v>0</v>
      </c>
      <c r="N14" s="337">
        <f ca="1">O14-M14</f>
        <v>0</v>
      </c>
      <c r="O14" s="126">
        <f ca="1">IF($A14="S",VTOTALBM,IF($A14=0,0,ROUND(SomaAgrupBM,15-13*ORÇAMENTO!$AF$11)))</f>
        <v>0</v>
      </c>
      <c r="Q14" s="338"/>
      <c r="R14" s="339"/>
      <c r="T14" s="118" t="str">
        <f ca="1">IF($W14&gt;0,$D14,"")</f>
        <v/>
      </c>
      <c r="U14" s="164" t="str">
        <f ca="1">IF($W14&gt;0,$E14,"")</f>
        <v/>
      </c>
      <c r="V14" s="165" t="str">
        <f ca="1">IF(AND($W14&gt;0,RegimeExecucao="Unitário"),$F14,"")</f>
        <v/>
      </c>
      <c r="W14" s="455">
        <f ca="1">IF($Y14&gt;0,CHOOSE(MATCH(RegimeExecucao,{"Unitário","Global"},0),IF($A14="S",$Y14/$X14,""),($Y14/$X14)*100),0)</f>
        <v>0</v>
      </c>
      <c r="X14" s="340" t="str">
        <f ca="1">IF($Y14&gt;0,CHOOSE(MATCH(RegimeExecucao,{"Unitário","Global"},0),IF($A14="S",ROUND($H14,ORÇAMENTO!$AF$10),""),ROUND($I14,ORÇAMENTO!$AF$11)),"")</f>
        <v/>
      </c>
      <c r="Y14" s="340">
        <f ca="1">AO14-O14</f>
        <v>0</v>
      </c>
      <c r="Z14" s="474"/>
      <c r="AB14" s="338"/>
      <c r="AC14" s="438"/>
      <c r="AD14" s="438"/>
      <c r="AE14" s="438"/>
      <c r="AF14" s="438"/>
      <c r="AG14" s="438"/>
      <c r="AH14" s="438"/>
      <c r="AI14" s="438"/>
      <c r="AJ14" s="438"/>
      <c r="AK14" s="438"/>
      <c r="AL14" s="438"/>
      <c r="AM14" s="339"/>
      <c r="AO14">
        <f ca="1">IF($A14="S",IF(BM!$I14=0,0,CHOOSE(MATCH(RegimeExecucao,{"Global","Unitário"},0),ROUND(ROUND(BM.MEDAcumulado,15-13*BM!$A$9)/100*BM!$I14,15-13*ORÇAMENTO!$AF$11),ROUND(ROUND(BM.MEDAcumulado,15-13*BM!$A$9)*ROUND(BM!$H14,15-13*ORÇAMENTO!$AF$10),15-13*ORÇAMENTO!$AF$11))),IF($A14=0,0,ROUND(SomaAgrupBM,15-13*ORÇAMENTO!$AF$11)))</f>
        <v>0</v>
      </c>
    </row>
    <row r="15" spans="1:41" x14ac:dyDescent="0.2">
      <c r="C15" s="115" t="s">
        <v>538</v>
      </c>
      <c r="D15" s="802" t="str">
        <f>"Objeto do CTEF: "&amp;Import.DescLote</f>
        <v>Objeto do CTEF: COBERTURA DE QUADRA</v>
      </c>
      <c r="E15" s="802"/>
      <c r="F15" s="456"/>
      <c r="G15" s="457"/>
      <c r="H15" s="457" t="s">
        <v>869</v>
      </c>
      <c r="I15" s="458" t="e">
        <f ca="1">IF(OR(_xlfn.SINGLE(ACOMPANHAMENTO)="PLE",_xlfn.SINGLE(TIPOORCAMENTO)="Proposto"),0,ORÇAMENTO!$X$15)</f>
        <v>#NAME?</v>
      </c>
      <c r="J15" s="341" t="e">
        <f ca="1">IF(M$15=0,0,IF(RegimeExecucao="Global",M$15/$I$15*100,0))</f>
        <v>#NAME?</v>
      </c>
      <c r="K15" s="341" t="e">
        <f ca="1">L15-J15</f>
        <v>#NAME?</v>
      </c>
      <c r="L15" s="341" t="e">
        <f ca="1">IF(O$15=0,0,IF(RegimeExecucao="Global",O$15/$I$15*100,0))</f>
        <v>#NAME?</v>
      </c>
      <c r="M15" s="342" t="e">
        <f ca="1">IF(OR(_xlfn.SINGLE(ACOMPANHAMENTO)="PLE",_xlfn.SINGLE(TIPOORCAMENTO)="Proposto"),0,SUMIF(OFFSET($A15,1,0):$A$27,"S",OFFSET(M15,1,0):M$27))</f>
        <v>#NAME?</v>
      </c>
      <c r="N15" s="342" t="e">
        <f ca="1">O15-M15</f>
        <v>#NAME?</v>
      </c>
      <c r="O15" s="342" t="e">
        <f ca="1">IF(OR(_xlfn.SINGLE(ACOMPANHAMENTO)="PLE",_xlfn.SINGLE(TIPOORCAMENTO)="Proposto"),0,SUMIF(OFFSET($A15,1,0):$A$27,"S",OFFSET(O15,1,0):O$27))</f>
        <v>#NAME?</v>
      </c>
      <c r="Q15" s="343"/>
      <c r="R15" s="343"/>
      <c r="T15" s="344"/>
      <c r="U15" s="345"/>
      <c r="V15" s="345"/>
      <c r="W15" s="345"/>
      <c r="X15" s="345"/>
      <c r="Y15" s="345"/>
      <c r="Z15" s="346"/>
      <c r="AB15" s="798" t="str">
        <f ca="1">"Preencher abaixo com a "&amp;CHOOSE(MATCH(RegimeExecucao,{"Unitário","Global"},0),"QUANTIDADE","PORCENTAGEM")&amp;" executada no PERÍODO"</f>
        <v>Preencher abaixo com a QUANTIDADE executada no PERÍODO</v>
      </c>
      <c r="AC15" s="798"/>
      <c r="AD15" s="798"/>
      <c r="AE15" s="798"/>
      <c r="AF15" s="798"/>
      <c r="AG15" s="798"/>
      <c r="AH15" s="798"/>
      <c r="AI15" s="798"/>
      <c r="AJ15" s="798"/>
      <c r="AK15" s="798"/>
      <c r="AL15" s="798"/>
      <c r="AM15" s="798"/>
    </row>
    <row r="16" spans="1:41" x14ac:dyDescent="0.2">
      <c r="A16">
        <f ca="1">ORÇAMENTO!C16</f>
        <v>1</v>
      </c>
      <c r="B16">
        <f ca="1">ORÇAMENTO!D16</f>
        <v>11</v>
      </c>
      <c r="C16" s="115" t="str">
        <f t="shared" ref="C16:C26" ca="1" si="1">IF(OR($I16&gt;0,$A16=1,$A16=2,$A16=3,$A16=4),"F","")</f>
        <v>F</v>
      </c>
      <c r="D16" s="118" t="str">
        <f ca="1">ORÇAMENTO!O16</f>
        <v>1.</v>
      </c>
      <c r="E16" s="164" t="str">
        <f t="shared" ref="E16:E26" si="2">ORÇAMENTO.Descricao</f>
        <v>COBERTURA DE QUADRA - EMEI IRACEMA CIDADE</v>
      </c>
      <c r="F16" s="165" t="str">
        <f ca="1">IF(RegimeExecucao="Global","",ORÇAMENTO.Unidade)</f>
        <v>-</v>
      </c>
      <c r="G16" s="123">
        <f ca="1">IF(RegimeExecucao="Global","",ORÇAMENTO!T16)</f>
        <v>0</v>
      </c>
      <c r="H16" s="123">
        <f ca="1">IF(RegimeExecucao="Global","",ORÇAMENTO!W16)</f>
        <v>0</v>
      </c>
      <c r="I16" s="126">
        <f ca="1">ORÇAMENTO!X16</f>
        <v>0</v>
      </c>
      <c r="J16" s="334" t="e" cm="1">
        <f t="array" aca="1" ref="J16" ca="1">_xlfn.SINGLE(IF($A16="S",IF(CAIXA.Modo,BM.AFAnterior,BM.MEDAnterior),IF(AND(_xlfn.SINGLE(RegimeExecucao)="Global",$I16&gt;0,COUNTIF($AB$13:$AM$13,BM.medicao-1)&gt;0),M16/$I16*100,0)))</f>
        <v>#NAME?</v>
      </c>
      <c r="K16" s="123" t="e">
        <f t="shared" ref="K16:K26" ca="1" si="3">L16-J16</f>
        <v>#NAME?</v>
      </c>
      <c r="L16" s="335" t="e" cm="1">
        <f t="array" aca="1" ref="L16" ca="1">_xlfn.SINGLE(IF($A16="S",IF(CAIXA.Modo,BM.AFAcumulado,BM.MEDAcumulado),IF(AND(_xlfn.SINGLE(RegimeExecucao)="Global",$I16&gt;0,COUNTIF($AB$13:$AM$13,BM.medicao)&gt;0),O16/$I16*100,0)))</f>
        <v>#NAME?</v>
      </c>
      <c r="M16" s="336">
        <f ca="1">IF($A16="S",VTOTALBM,IF($A16=0,0,ROUND(SomaAgrupBM,15-13*ORÇAMENTO!$AF$11)))</f>
        <v>0</v>
      </c>
      <c r="N16" s="337">
        <f t="shared" ref="N16:N26" ca="1" si="4">O16-M16</f>
        <v>0</v>
      </c>
      <c r="O16" s="126">
        <f ca="1">IF($A16="S",VTOTALBM,IF($A16=0,0,ROUND(SomaAgrupBM,15-13*ORÇAMENTO!$AF$11)))</f>
        <v>0</v>
      </c>
      <c r="Q16" s="338"/>
      <c r="R16" s="339"/>
      <c r="T16" s="118" t="str">
        <f t="shared" ref="T16:T26" ca="1" si="5">IF($W16&gt;0,$D16,"")</f>
        <v/>
      </c>
      <c r="U16" s="164" t="str">
        <f t="shared" ref="U16:U26" ca="1" si="6">IF($W16&gt;0,$E16,"")</f>
        <v/>
      </c>
      <c r="V16" s="165" t="str">
        <f ca="1">IF(AND($W16&gt;0,RegimeExecucao="Unitário"),$F16,"")</f>
        <v/>
      </c>
      <c r="W16" s="455">
        <f ca="1">IF($Y16&gt;0,CHOOSE(MATCH(RegimeExecucao,{"Unitário","Global"},0),IF($A16="S",$Y16/$X16,""),($Y16/$X16)*100),0)</f>
        <v>0</v>
      </c>
      <c r="X16" s="340" t="str">
        <f ca="1">IF($Y16&gt;0,CHOOSE(MATCH(RegimeExecucao,{"Unitário","Global"},0),IF($A16="S",ROUND($H16,ORÇAMENTO!$AF$10),""),ROUND($I16,ORÇAMENTO!$AF$11)),"")</f>
        <v/>
      </c>
      <c r="Y16" s="340">
        <f t="shared" ref="Y16:Y26" ca="1" si="7">AO16-O16</f>
        <v>0</v>
      </c>
      <c r="Z16" s="474"/>
      <c r="AB16" s="338"/>
      <c r="AC16" s="438"/>
      <c r="AD16" s="438"/>
      <c r="AE16" s="438"/>
      <c r="AF16" s="438"/>
      <c r="AG16" s="438"/>
      <c r="AH16" s="438"/>
      <c r="AI16" s="438"/>
      <c r="AJ16" s="438"/>
      <c r="AK16" s="438"/>
      <c r="AL16" s="438"/>
      <c r="AM16" s="339"/>
      <c r="AO16">
        <f ca="1">IF($A16="S",IF(BM!$I16=0,0,CHOOSE(MATCH(RegimeExecucao,{"Global","Unitário"},0),ROUND(ROUND(BM.MEDAcumulado,15-13*BM!$A$9)/100*BM!$I16,15-13*ORÇAMENTO!$AF$11),ROUND(ROUND(BM.MEDAcumulado,15-13*BM!$A$9)*ROUND(BM!$H16,15-13*ORÇAMENTO!$AF$10),15-13*ORÇAMENTO!$AF$11))),IF($A16=0,0,ROUND(SomaAgrupBM,15-13*ORÇAMENTO!$AF$11)))</f>
        <v>0</v>
      </c>
    </row>
    <row r="17" spans="1:41" x14ac:dyDescent="0.2">
      <c r="A17">
        <f ca="1">ORÇAMENTO!C17</f>
        <v>2</v>
      </c>
      <c r="B17">
        <f ca="1">ORÇAMENTO!D17</f>
        <v>4</v>
      </c>
      <c r="C17" s="115" t="str">
        <f t="shared" ca="1" si="1"/>
        <v>F</v>
      </c>
      <c r="D17" s="118" t="str">
        <f ca="1">ORÇAMENTO!O17</f>
        <v>1.1.</v>
      </c>
      <c r="E17" s="164" t="str">
        <f t="shared" si="2"/>
        <v>FUNDAÇÕES</v>
      </c>
      <c r="F17" s="165" t="str">
        <f ca="1">IF(RegimeExecucao="Global","",ORÇAMENTO.Unidade)</f>
        <v>-</v>
      </c>
      <c r="G17" s="123">
        <f ca="1">IF(RegimeExecucao="Global","",ORÇAMENTO!T17)</f>
        <v>0</v>
      </c>
      <c r="H17" s="123">
        <f ca="1">IF(RegimeExecucao="Global","",ORÇAMENTO!W17)</f>
        <v>0</v>
      </c>
      <c r="I17" s="126">
        <f ca="1">ORÇAMENTO!X17</f>
        <v>0</v>
      </c>
      <c r="J17" s="334" t="e" cm="1">
        <f t="array" aca="1" ref="J17" ca="1">_xlfn.SINGLE(IF($A17="S",IF(CAIXA.Modo,BM.AFAnterior,BM.MEDAnterior),IF(AND(_xlfn.SINGLE(RegimeExecucao)="Global",$I17&gt;0,COUNTIF($AB$13:$AM$13,BM.medicao-1)&gt;0),M17/$I17*100,0)))</f>
        <v>#NAME?</v>
      </c>
      <c r="K17" s="123" t="e">
        <f t="shared" ca="1" si="3"/>
        <v>#NAME?</v>
      </c>
      <c r="L17" s="335" t="e" cm="1">
        <f t="array" aca="1" ref="L17" ca="1">_xlfn.SINGLE(IF($A17="S",IF(CAIXA.Modo,BM.AFAcumulado,BM.MEDAcumulado),IF(AND(_xlfn.SINGLE(RegimeExecucao)="Global",$I17&gt;0,COUNTIF($AB$13:$AM$13,BM.medicao)&gt;0),O17/$I17*100,0)))</f>
        <v>#NAME?</v>
      </c>
      <c r="M17" s="336">
        <f ca="1">IF($A17="S",VTOTALBM,IF($A17=0,0,ROUND(SomaAgrupBM,15-13*ORÇAMENTO!$AF$11)))</f>
        <v>0</v>
      </c>
      <c r="N17" s="337">
        <f t="shared" ca="1" si="4"/>
        <v>0</v>
      </c>
      <c r="O17" s="126">
        <f ca="1">IF($A17="S",VTOTALBM,IF($A17=0,0,ROUND(SomaAgrupBM,15-13*ORÇAMENTO!$AF$11)))</f>
        <v>0</v>
      </c>
      <c r="Q17" s="338"/>
      <c r="R17" s="339"/>
      <c r="T17" s="118" t="str">
        <f t="shared" ca="1" si="5"/>
        <v/>
      </c>
      <c r="U17" s="164" t="str">
        <f t="shared" ca="1" si="6"/>
        <v/>
      </c>
      <c r="V17" s="165" t="str">
        <f ca="1">IF(AND($W17&gt;0,RegimeExecucao="Unitário"),$F17,"")</f>
        <v/>
      </c>
      <c r="W17" s="455">
        <f ca="1">IF($Y17&gt;0,CHOOSE(MATCH(RegimeExecucao,{"Unitário","Global"},0),IF($A17="S",$Y17/$X17,""),($Y17/$X17)*100),0)</f>
        <v>0</v>
      </c>
      <c r="X17" s="340" t="str">
        <f ca="1">IF($Y17&gt;0,CHOOSE(MATCH(RegimeExecucao,{"Unitário","Global"},0),IF($A17="S",ROUND($H17,ORÇAMENTO!$AF$10),""),ROUND($I17,ORÇAMENTO!$AF$11)),"")</f>
        <v/>
      </c>
      <c r="Y17" s="340">
        <f t="shared" ca="1" si="7"/>
        <v>0</v>
      </c>
      <c r="Z17" s="474"/>
      <c r="AB17" s="338"/>
      <c r="AC17" s="438"/>
      <c r="AD17" s="438"/>
      <c r="AE17" s="438"/>
      <c r="AF17" s="438"/>
      <c r="AG17" s="438"/>
      <c r="AH17" s="438"/>
      <c r="AI17" s="438"/>
      <c r="AJ17" s="438"/>
      <c r="AK17" s="438"/>
      <c r="AL17" s="438"/>
      <c r="AM17" s="339"/>
      <c r="AO17">
        <f ca="1">IF($A17="S",IF(BM!$I17=0,0,CHOOSE(MATCH(RegimeExecucao,{"Global","Unitário"},0),ROUND(ROUND(BM.MEDAcumulado,15-13*BM!$A$9)/100*BM!$I17,15-13*ORÇAMENTO!$AF$11),ROUND(ROUND(BM.MEDAcumulado,15-13*BM!$A$9)*ROUND(BM!$H17,15-13*ORÇAMENTO!$AF$10),15-13*ORÇAMENTO!$AF$11))),IF($A17=0,0,ROUND(SomaAgrupBM,15-13*ORÇAMENTO!$AF$11)))</f>
        <v>0</v>
      </c>
    </row>
    <row r="18" spans="1:41" s="662" customFormat="1" x14ac:dyDescent="0.2">
      <c r="A18" s="662" t="str">
        <f ca="1">ORÇAMENTO!C18</f>
        <v>S</v>
      </c>
      <c r="B18" s="662">
        <f ca="1">ORÇAMENTO!D18</f>
        <v>0</v>
      </c>
      <c r="C18" s="115" t="str">
        <f t="shared" ca="1" si="1"/>
        <v/>
      </c>
      <c r="D18" s="118" t="str">
        <f ca="1">ORÇAMENTO!O18</f>
        <v>-</v>
      </c>
      <c r="E18" s="164" t="str">
        <f t="shared" ca="1" si="2"/>
        <v>(abra o arquivo 'Referência 03-2025.xlsm)</v>
      </c>
      <c r="F18" s="165" t="str">
        <f ca="1">IF(RegimeExecucao="Global","",ORÇAMENTO.Unidade)</f>
        <v>-</v>
      </c>
      <c r="G18" s="123">
        <f ca="1">IF(RegimeExecucao="Global","",ORÇAMENTO!T18)</f>
        <v>6</v>
      </c>
      <c r="H18" s="123">
        <f ca="1">IF(RegimeExecucao="Global","",ORÇAMENTO!W18)</f>
        <v>0</v>
      </c>
      <c r="I18" s="126">
        <f ca="1">ORÇAMENTO!X18</f>
        <v>0</v>
      </c>
      <c r="J18" s="334" t="e" cm="1">
        <f t="array" aca="1" ref="J18" ca="1">_xlfn.SINGLE(IF($A18="S",IF(CAIXA.Modo,BM.AFAnterior,BM.MEDAnterior),IF(AND(_xlfn.SINGLE(RegimeExecucao)="Global",$I18&gt;0,COUNTIF($AB$13:$AM$13,BM.medicao-1)&gt;0),M18/$I18*100,0)))</f>
        <v>#NAME?</v>
      </c>
      <c r="K18" s="123" t="e">
        <f t="shared" ca="1" si="3"/>
        <v>#NAME?</v>
      </c>
      <c r="L18" s="335" t="e" cm="1">
        <f t="array" aca="1" ref="L18" ca="1">_xlfn.SINGLE(IF($A18="S",IF(CAIXA.Modo,BM.AFAcumulado,BM.MEDAcumulado),IF(AND(_xlfn.SINGLE(RegimeExecucao)="Global",$I18&gt;0,COUNTIF($AB$13:$AM$13,BM.medicao)&gt;0),O18/$I18*100,0)))</f>
        <v>#NAME?</v>
      </c>
      <c r="M18" s="336">
        <f ca="1">IF($A18="S",VTOTALBM,IF($A18=0,0,ROUND(SomaAgrupBM,15-13*ORÇAMENTO!$AF$11)))</f>
        <v>0</v>
      </c>
      <c r="N18" s="337">
        <f t="shared" ca="1" si="4"/>
        <v>0</v>
      </c>
      <c r="O18" s="126">
        <f ca="1">IF($A18="S",VTOTALBM,IF($A18=0,0,ROUND(SomaAgrupBM,15-13*ORÇAMENTO!$AF$11)))</f>
        <v>0</v>
      </c>
      <c r="Q18" s="338"/>
      <c r="R18" s="339"/>
      <c r="T18" s="118" t="str">
        <f t="shared" ca="1" si="5"/>
        <v/>
      </c>
      <c r="U18" s="164" t="str">
        <f t="shared" ca="1" si="6"/>
        <v/>
      </c>
      <c r="V18" s="165" t="str">
        <f ca="1">IF(AND($W18&gt;0,RegimeExecucao="Unitário"),$F18,"")</f>
        <v/>
      </c>
      <c r="W18" s="455">
        <f ca="1">IF($Y18&gt;0,CHOOSE(MATCH(RegimeExecucao,{"Unitário","Global"},0),IF($A18="S",$Y18/$X18,""),($Y18/$X18)*100),0)</f>
        <v>0</v>
      </c>
      <c r="X18" s="340" t="str">
        <f ca="1">IF($Y18&gt;0,CHOOSE(MATCH(RegimeExecucao,{"Unitário","Global"},0),IF($A18="S",ROUND($H18,ORÇAMENTO!$AF$10),""),ROUND($I18,ORÇAMENTO!$AF$11)),"")</f>
        <v/>
      </c>
      <c r="Y18" s="340">
        <f t="shared" ca="1" si="7"/>
        <v>0</v>
      </c>
      <c r="Z18" s="474"/>
      <c r="AB18" s="338"/>
      <c r="AC18" s="438"/>
      <c r="AD18" s="438"/>
      <c r="AE18" s="438"/>
      <c r="AF18" s="438"/>
      <c r="AG18" s="438"/>
      <c r="AH18" s="438"/>
      <c r="AI18" s="438"/>
      <c r="AJ18" s="438"/>
      <c r="AK18" s="438"/>
      <c r="AL18" s="438"/>
      <c r="AM18" s="339"/>
      <c r="AO18" s="662">
        <f ca="1">IF($A18="S",IF(BM!$I18=0,0,CHOOSE(MATCH(RegimeExecucao,{"Global","Unitário"},0),ROUND(ROUND(BM.MEDAcumulado,15-13*BM!$A$9)/100*BM!$I18,15-13*ORÇAMENTO!$AF$11),ROUND(ROUND(BM.MEDAcumulado,15-13*BM!$A$9)*ROUND(BM!$H18,15-13*ORÇAMENTO!$AF$10),15-13*ORÇAMENTO!$AF$11))),IF($A18=0,0,ROUND(SomaAgrupBM,15-13*ORÇAMENTO!$AF$11)))</f>
        <v>0</v>
      </c>
    </row>
    <row r="19" spans="1:41" s="662" customFormat="1" ht="25.5" x14ac:dyDescent="0.2">
      <c r="A19" s="662" t="str">
        <f ca="1">ORÇAMENTO!C19</f>
        <v>S</v>
      </c>
      <c r="B19" s="662">
        <f ca="1">ORÇAMENTO!D19</f>
        <v>0</v>
      </c>
      <c r="C19" s="115" t="str">
        <f ca="1">IF(OR($I19&gt;0,$A19=1,$A19=2,$A19=3,$A19=4),"F","")</f>
        <v/>
      </c>
      <c r="D19" s="118" t="str">
        <f ca="1">ORÇAMENTO!O19</f>
        <v>-</v>
      </c>
      <c r="E19" s="164" t="str">
        <f ca="1">ORÇAMENTO.Descricao</f>
        <v>(abra o arquivo 'Referência 03-2025.xlsm)</v>
      </c>
      <c r="F19" s="165" t="str">
        <f ca="1">IF(RegimeExecucao="Global","",ORÇAMENTO.Unidade)</f>
        <v>-</v>
      </c>
      <c r="G19" s="123">
        <f ca="1">IF(RegimeExecucao="Global","",ORÇAMENTO!T19)</f>
        <v>3.84</v>
      </c>
      <c r="H19" s="123">
        <f ca="1">IF(RegimeExecucao="Global","",ORÇAMENTO!W19)</f>
        <v>0</v>
      </c>
      <c r="I19" s="126">
        <f ca="1">ORÇAMENTO!X19</f>
        <v>0</v>
      </c>
      <c r="J19" s="334" t="e" cm="1">
        <f t="array" aca="1" ref="J19" ca="1">_xlfn.SINGLE(IF($A19="S",IF(CAIXA.Modo,BM.AFAnterior,BM.MEDAnterior),IF(AND(_xlfn.SINGLE(RegimeExecucao)="Global",$I19&gt;0,COUNTIF($AB$13:$AM$13,BM.medicao-1)&gt;0),M19/$I19*100,0)))</f>
        <v>#NAME?</v>
      </c>
      <c r="K19" s="123" t="e">
        <f ca="1">L19-J19</f>
        <v>#NAME?</v>
      </c>
      <c r="L19" s="335" t="e" cm="1">
        <f t="array" aca="1" ref="L19" ca="1">_xlfn.SINGLE(IF($A19="S",IF(CAIXA.Modo,BM.AFAcumulado,BM.MEDAcumulado),IF(AND(_xlfn.SINGLE(RegimeExecucao)="Global",$I19&gt;0,COUNTIF($AB$13:$AM$13,BM.medicao)&gt;0),O19/$I19*100,0)))</f>
        <v>#NAME?</v>
      </c>
      <c r="M19" s="336">
        <f ca="1">IF($A19="S",VTOTALBM,IF($A19=0,0,ROUND(SomaAgrupBM,15-13*ORÇAMENTO!$AF$11)))</f>
        <v>0</v>
      </c>
      <c r="N19" s="337">
        <f ca="1">O19-M19</f>
        <v>0</v>
      </c>
      <c r="O19" s="126">
        <f ca="1">IF($A19="S",VTOTALBM,IF($A19=0,0,ROUND(SomaAgrupBM,15-13*ORÇAMENTO!$AF$11)))</f>
        <v>0</v>
      </c>
      <c r="Q19" s="338"/>
      <c r="R19" s="339"/>
      <c r="T19" s="118" t="str">
        <f ca="1">IF($W19&gt;0,$D19,"")</f>
        <v/>
      </c>
      <c r="U19" s="164" t="str">
        <f ca="1">IF($W19&gt;0,$E19,"")</f>
        <v/>
      </c>
      <c r="V19" s="165" t="str">
        <f ca="1">IF(AND($W19&gt;0,RegimeExecucao="Unitário"),$F19,"")</f>
        <v/>
      </c>
      <c r="W19" s="455">
        <f ca="1">IF($Y19&gt;0,CHOOSE(MATCH(RegimeExecucao,{"Unitário","Global"},0),IF($A19="S",$Y19/$X19,""),($Y19/$X19)*100),0)</f>
        <v>0</v>
      </c>
      <c r="X19" s="340" t="str">
        <f ca="1">IF($Y19&gt;0,CHOOSE(MATCH(RegimeExecucao,{"Unitário","Global"},0),IF($A19="S",ROUND($H19,ORÇAMENTO!$AF$10),""),ROUND($I19,ORÇAMENTO!$AF$11)),"")</f>
        <v/>
      </c>
      <c r="Y19" s="340">
        <f ca="1">AO19-O19</f>
        <v>0</v>
      </c>
      <c r="Z19" s="474"/>
      <c r="AB19" s="338"/>
      <c r="AC19" s="438"/>
      <c r="AD19" s="438"/>
      <c r="AE19" s="438"/>
      <c r="AF19" s="438"/>
      <c r="AG19" s="438"/>
      <c r="AH19" s="438"/>
      <c r="AI19" s="438"/>
      <c r="AJ19" s="438"/>
      <c r="AK19" s="438"/>
      <c r="AL19" s="438"/>
      <c r="AM19" s="339"/>
      <c r="AO19" s="662">
        <f ca="1">IF($A19="S",IF(BM!$I19=0,0,CHOOSE(MATCH(RegimeExecucao,{"Global","Unitário"},0),ROUND(ROUND(BM.MEDAcumulado,15-13*BM!$A$9)/100*BM!$I19,15-13*ORÇAMENTO!$AF$11),ROUND(ROUND(BM.MEDAcumulado,15-13*BM!$A$9)*ROUND(BM!$H19,15-13*ORÇAMENTO!$AF$10),15-13*ORÇAMENTO!$AF$11))),IF($A19=0,0,ROUND(SomaAgrupBM,15-13*ORÇAMENTO!$AF$11)))</f>
        <v>0</v>
      </c>
    </row>
    <row r="20" spans="1:41" s="662" customFormat="1" x14ac:dyDescent="0.2">
      <c r="A20" s="662" t="str">
        <f ca="1">ORÇAMENTO!C20</f>
        <v>S</v>
      </c>
      <c r="B20" s="662">
        <f ca="1">ORÇAMENTO!D20</f>
        <v>0</v>
      </c>
      <c r="C20" s="115" t="str">
        <f t="shared" ca="1" si="1"/>
        <v/>
      </c>
      <c r="D20" s="118" t="str">
        <f ca="1">ORÇAMENTO!O20</f>
        <v>-</v>
      </c>
      <c r="E20" s="164" t="str">
        <f t="shared" ca="1" si="2"/>
        <v>(abra o arquivo 'Referência 03-2025.xlsm)</v>
      </c>
      <c r="F20" s="165" t="str">
        <f ca="1">IF(RegimeExecucao="Global","",ORÇAMENTO.Unidade)</f>
        <v>-</v>
      </c>
      <c r="G20" s="123">
        <f ca="1">IF(RegimeExecucao="Global","",ORÇAMENTO!T20)</f>
        <v>6</v>
      </c>
      <c r="H20" s="123">
        <f ca="1">IF(RegimeExecucao="Global","",ORÇAMENTO!W20)</f>
        <v>0</v>
      </c>
      <c r="I20" s="126">
        <f ca="1">ORÇAMENTO!X20</f>
        <v>0</v>
      </c>
      <c r="J20" s="334" t="e" cm="1">
        <f t="array" aca="1" ref="J20" ca="1">_xlfn.SINGLE(IF($A20="S",IF(CAIXA.Modo,BM.AFAnterior,BM.MEDAnterior),IF(AND(_xlfn.SINGLE(RegimeExecucao)="Global",$I20&gt;0,COUNTIF($AB$13:$AM$13,BM.medicao-1)&gt;0),M20/$I20*100,0)))</f>
        <v>#NAME?</v>
      </c>
      <c r="K20" s="123" t="e">
        <f t="shared" ca="1" si="3"/>
        <v>#NAME?</v>
      </c>
      <c r="L20" s="335" t="e" cm="1">
        <f t="array" aca="1" ref="L20" ca="1">_xlfn.SINGLE(IF($A20="S",IF(CAIXA.Modo,BM.AFAcumulado,BM.MEDAcumulado),IF(AND(_xlfn.SINGLE(RegimeExecucao)="Global",$I20&gt;0,COUNTIF($AB$13:$AM$13,BM.medicao)&gt;0),O20/$I20*100,0)))</f>
        <v>#NAME?</v>
      </c>
      <c r="M20" s="336">
        <f ca="1">IF($A20="S",VTOTALBM,IF($A20=0,0,ROUND(SomaAgrupBM,15-13*ORÇAMENTO!$AF$11)))</f>
        <v>0</v>
      </c>
      <c r="N20" s="337">
        <f t="shared" ca="1" si="4"/>
        <v>0</v>
      </c>
      <c r="O20" s="126">
        <f ca="1">IF($A20="S",VTOTALBM,IF($A20=0,0,ROUND(SomaAgrupBM,15-13*ORÇAMENTO!$AF$11)))</f>
        <v>0</v>
      </c>
      <c r="Q20" s="338"/>
      <c r="R20" s="339"/>
      <c r="T20" s="118" t="str">
        <f t="shared" ca="1" si="5"/>
        <v/>
      </c>
      <c r="U20" s="164" t="str">
        <f t="shared" ca="1" si="6"/>
        <v/>
      </c>
      <c r="V20" s="165" t="str">
        <f ca="1">IF(AND($W20&gt;0,RegimeExecucao="Unitário"),$F20,"")</f>
        <v/>
      </c>
      <c r="W20" s="455">
        <f ca="1">IF($Y20&gt;0,CHOOSE(MATCH(RegimeExecucao,{"Unitário","Global"},0),IF($A20="S",$Y20/$X20,""),($Y20/$X20)*100),0)</f>
        <v>0</v>
      </c>
      <c r="X20" s="340" t="str">
        <f ca="1">IF($Y20&gt;0,CHOOSE(MATCH(RegimeExecucao,{"Unitário","Global"},0),IF($A20="S",ROUND($H20,ORÇAMENTO!$AF$10),""),ROUND($I20,ORÇAMENTO!$AF$11)),"")</f>
        <v/>
      </c>
      <c r="Y20" s="340">
        <f t="shared" ca="1" si="7"/>
        <v>0</v>
      </c>
      <c r="Z20" s="474"/>
      <c r="AB20" s="338"/>
      <c r="AC20" s="438"/>
      <c r="AD20" s="438"/>
      <c r="AE20" s="438"/>
      <c r="AF20" s="438"/>
      <c r="AG20" s="438"/>
      <c r="AH20" s="438"/>
      <c r="AI20" s="438"/>
      <c r="AJ20" s="438"/>
      <c r="AK20" s="438"/>
      <c r="AL20" s="438"/>
      <c r="AM20" s="339"/>
      <c r="AO20" s="662">
        <f ca="1">IF($A20="S",IF(BM!$I20=0,0,CHOOSE(MATCH(RegimeExecucao,{"Global","Unitário"},0),ROUND(ROUND(BM.MEDAcumulado,15-13*BM!$A$9)/100*BM!$I20,15-13*ORÇAMENTO!$AF$11),ROUND(ROUND(BM.MEDAcumulado,15-13*BM!$A$9)*ROUND(BM!$H20,15-13*ORÇAMENTO!$AF$10),15-13*ORÇAMENTO!$AF$11))),IF($A20=0,0,ROUND(SomaAgrupBM,15-13*ORÇAMENTO!$AF$11)))</f>
        <v>0</v>
      </c>
    </row>
    <row r="21" spans="1:41" s="662" customFormat="1" x14ac:dyDescent="0.2">
      <c r="A21" s="662">
        <f ca="1">ORÇAMENTO!C21</f>
        <v>2</v>
      </c>
      <c r="B21" s="662">
        <f ca="1">ORÇAMENTO!D21</f>
        <v>4</v>
      </c>
      <c r="C21" s="115" t="str">
        <f t="shared" ca="1" si="1"/>
        <v>F</v>
      </c>
      <c r="D21" s="118" t="str">
        <f ca="1">ORÇAMENTO!O21</f>
        <v>1.2.</v>
      </c>
      <c r="E21" s="164" t="str">
        <f t="shared" si="2"/>
        <v>ESTRUTURAS</v>
      </c>
      <c r="F21" s="165" t="str">
        <f ca="1">IF(RegimeExecucao="Global","",ORÇAMENTO.Unidade)</f>
        <v>-</v>
      </c>
      <c r="G21" s="123">
        <f ca="1">IF(RegimeExecucao="Global","",ORÇAMENTO!T21)</f>
        <v>0</v>
      </c>
      <c r="H21" s="123">
        <f ca="1">IF(RegimeExecucao="Global","",ORÇAMENTO!W21)</f>
        <v>0</v>
      </c>
      <c r="I21" s="126">
        <f ca="1">ORÇAMENTO!X21</f>
        <v>0</v>
      </c>
      <c r="J21" s="334" t="e" cm="1">
        <f t="array" aca="1" ref="J21" ca="1">_xlfn.SINGLE(IF($A21="S",IF(CAIXA.Modo,BM.AFAnterior,BM.MEDAnterior),IF(AND(_xlfn.SINGLE(RegimeExecucao)="Global",$I21&gt;0,COUNTIF($AB$13:$AM$13,BM.medicao-1)&gt;0),M21/$I21*100,0)))</f>
        <v>#NAME?</v>
      </c>
      <c r="K21" s="123" t="e">
        <f t="shared" ca="1" si="3"/>
        <v>#NAME?</v>
      </c>
      <c r="L21" s="335" t="e" cm="1">
        <f t="array" aca="1" ref="L21" ca="1">_xlfn.SINGLE(IF($A21="S",IF(CAIXA.Modo,BM.AFAcumulado,BM.MEDAcumulado),IF(AND(_xlfn.SINGLE(RegimeExecucao)="Global",$I21&gt;0,COUNTIF($AB$13:$AM$13,BM.medicao)&gt;0),O21/$I21*100,0)))</f>
        <v>#NAME?</v>
      </c>
      <c r="M21" s="336">
        <f ca="1">IF($A21="S",VTOTALBM,IF($A21=0,0,ROUND(SomaAgrupBM,15-13*ORÇAMENTO!$AF$11)))</f>
        <v>0</v>
      </c>
      <c r="N21" s="337">
        <f t="shared" ca="1" si="4"/>
        <v>0</v>
      </c>
      <c r="O21" s="126">
        <f ca="1">IF($A21="S",VTOTALBM,IF($A21=0,0,ROUND(SomaAgrupBM,15-13*ORÇAMENTO!$AF$11)))</f>
        <v>0</v>
      </c>
      <c r="Q21" s="338"/>
      <c r="R21" s="339"/>
      <c r="T21" s="118" t="str">
        <f t="shared" ca="1" si="5"/>
        <v/>
      </c>
      <c r="U21" s="164" t="str">
        <f t="shared" ca="1" si="6"/>
        <v/>
      </c>
      <c r="V21" s="165" t="str">
        <f ca="1">IF(AND($W21&gt;0,RegimeExecucao="Unitário"),$F21,"")</f>
        <v/>
      </c>
      <c r="W21" s="455">
        <f ca="1">IF($Y21&gt;0,CHOOSE(MATCH(RegimeExecucao,{"Unitário","Global"},0),IF($A21="S",$Y21/$X21,""),($Y21/$X21)*100),0)</f>
        <v>0</v>
      </c>
      <c r="X21" s="340" t="str">
        <f ca="1">IF($Y21&gt;0,CHOOSE(MATCH(RegimeExecucao,{"Unitário","Global"},0),IF($A21="S",ROUND($H21,ORÇAMENTO!$AF$10),""),ROUND($I21,ORÇAMENTO!$AF$11)),"")</f>
        <v/>
      </c>
      <c r="Y21" s="340">
        <f t="shared" ca="1" si="7"/>
        <v>0</v>
      </c>
      <c r="Z21" s="474"/>
      <c r="AB21" s="338"/>
      <c r="AC21" s="438"/>
      <c r="AD21" s="438"/>
      <c r="AE21" s="438"/>
      <c r="AF21" s="438"/>
      <c r="AG21" s="438"/>
      <c r="AH21" s="438"/>
      <c r="AI21" s="438"/>
      <c r="AJ21" s="438"/>
      <c r="AK21" s="438"/>
      <c r="AL21" s="438"/>
      <c r="AM21" s="339"/>
      <c r="AO21" s="662">
        <f ca="1">IF($A21="S",IF(BM!$I21=0,0,CHOOSE(MATCH(RegimeExecucao,{"Global","Unitário"},0),ROUND(ROUND(BM.MEDAcumulado,15-13*BM!$A$9)/100*BM!$I21,15-13*ORÇAMENTO!$AF$11),ROUND(ROUND(BM.MEDAcumulado,15-13*BM!$A$9)*ROUND(BM!$H21,15-13*ORÇAMENTO!$AF$10),15-13*ORÇAMENTO!$AF$11))),IF($A21=0,0,ROUND(SomaAgrupBM,15-13*ORÇAMENTO!$AF$11)))</f>
        <v>0</v>
      </c>
    </row>
    <row r="22" spans="1:41" s="662" customFormat="1" ht="38.25" x14ac:dyDescent="0.2">
      <c r="A22" s="662" t="str">
        <f ca="1">ORÇAMENTO!C22</f>
        <v>S</v>
      </c>
      <c r="B22" s="662">
        <f ca="1">ORÇAMENTO!D22</f>
        <v>0</v>
      </c>
      <c r="C22" s="115" t="str">
        <f t="shared" ca="1" si="1"/>
        <v/>
      </c>
      <c r="D22" s="118" t="str">
        <f ca="1">ORÇAMENTO!O22</f>
        <v>-</v>
      </c>
      <c r="E22" s="164" t="str">
        <f t="shared" ca="1" si="2"/>
        <v>(abra o arquivo 'Referência 03-2025.xlsm)</v>
      </c>
      <c r="F22" s="165" t="str">
        <f ca="1">IF(RegimeExecucao="Global","",ORÇAMENTO.Unidade)</f>
        <v>-</v>
      </c>
      <c r="G22" s="123">
        <f ca="1">IF(RegimeExecucao="Global","",ORÇAMENTO!T22)</f>
        <v>3</v>
      </c>
      <c r="H22" s="123">
        <f ca="1">IF(RegimeExecucao="Global","",ORÇAMENTO!W22)</f>
        <v>0</v>
      </c>
      <c r="I22" s="126">
        <f ca="1">ORÇAMENTO!X22</f>
        <v>0</v>
      </c>
      <c r="J22" s="334" t="e" cm="1">
        <f t="array" aca="1" ref="J22" ca="1">_xlfn.SINGLE(IF($A22="S",IF(CAIXA.Modo,BM.AFAnterior,BM.MEDAnterior),IF(AND(_xlfn.SINGLE(RegimeExecucao)="Global",$I22&gt;0,COUNTIF($AB$13:$AM$13,BM.medicao-1)&gt;0),M22/$I22*100,0)))</f>
        <v>#NAME?</v>
      </c>
      <c r="K22" s="123" t="e">
        <f t="shared" ca="1" si="3"/>
        <v>#NAME?</v>
      </c>
      <c r="L22" s="335" t="e" cm="1">
        <f t="array" aca="1" ref="L22" ca="1">_xlfn.SINGLE(IF($A22="S",IF(CAIXA.Modo,BM.AFAcumulado,BM.MEDAcumulado),IF(AND(_xlfn.SINGLE(RegimeExecucao)="Global",$I22&gt;0,COUNTIF($AB$13:$AM$13,BM.medicao)&gt;0),O22/$I22*100,0)))</f>
        <v>#NAME?</v>
      </c>
      <c r="M22" s="336">
        <f ca="1">IF($A22="S",VTOTALBM,IF($A22=0,0,ROUND(SomaAgrupBM,15-13*ORÇAMENTO!$AF$11)))</f>
        <v>0</v>
      </c>
      <c r="N22" s="337">
        <f t="shared" ca="1" si="4"/>
        <v>0</v>
      </c>
      <c r="O22" s="126">
        <f ca="1">IF($A22="S",VTOTALBM,IF($A22=0,0,ROUND(SomaAgrupBM,15-13*ORÇAMENTO!$AF$11)))</f>
        <v>0</v>
      </c>
      <c r="Q22" s="338"/>
      <c r="R22" s="339"/>
      <c r="T22" s="118" t="str">
        <f t="shared" ca="1" si="5"/>
        <v/>
      </c>
      <c r="U22" s="164" t="str">
        <f t="shared" ca="1" si="6"/>
        <v/>
      </c>
      <c r="V22" s="165" t="str">
        <f ca="1">IF(AND($W22&gt;0,RegimeExecucao="Unitário"),$F22,"")</f>
        <v/>
      </c>
      <c r="W22" s="455">
        <f ca="1">IF($Y22&gt;0,CHOOSE(MATCH(RegimeExecucao,{"Unitário","Global"},0),IF($A22="S",$Y22/$X22,""),($Y22/$X22)*100),0)</f>
        <v>0</v>
      </c>
      <c r="X22" s="340" t="str">
        <f ca="1">IF($Y22&gt;0,CHOOSE(MATCH(RegimeExecucao,{"Unitário","Global"},0),IF($A22="S",ROUND($H22,ORÇAMENTO!$AF$10),""),ROUND($I22,ORÇAMENTO!$AF$11)),"")</f>
        <v/>
      </c>
      <c r="Y22" s="340">
        <f t="shared" ca="1" si="7"/>
        <v>0</v>
      </c>
      <c r="Z22" s="474"/>
      <c r="AB22" s="338"/>
      <c r="AC22" s="438"/>
      <c r="AD22" s="438"/>
      <c r="AE22" s="438"/>
      <c r="AF22" s="438"/>
      <c r="AG22" s="438"/>
      <c r="AH22" s="438"/>
      <c r="AI22" s="438"/>
      <c r="AJ22" s="438"/>
      <c r="AK22" s="438"/>
      <c r="AL22" s="438"/>
      <c r="AM22" s="339"/>
      <c r="AO22" s="662">
        <f ca="1">IF($A22="S",IF(BM!$I22=0,0,CHOOSE(MATCH(RegimeExecucao,{"Global","Unitário"},0),ROUND(ROUND(BM.MEDAcumulado,15-13*BM!$A$9)/100*BM!$I22,15-13*ORÇAMENTO!$AF$11),ROUND(ROUND(BM.MEDAcumulado,15-13*BM!$A$9)*ROUND(BM!$H22,15-13*ORÇAMENTO!$AF$10),15-13*ORÇAMENTO!$AF$11))),IF($A22=0,0,ROUND(SomaAgrupBM,15-13*ORÇAMENTO!$AF$11)))</f>
        <v>0</v>
      </c>
    </row>
    <row r="23" spans="1:41" s="662" customFormat="1" ht="51" x14ac:dyDescent="0.2">
      <c r="A23" s="662" t="str">
        <f ca="1">ORÇAMENTO!C23</f>
        <v>S</v>
      </c>
      <c r="B23" s="662">
        <f ca="1">ORÇAMENTO!D23</f>
        <v>0</v>
      </c>
      <c r="C23" s="115" t="str">
        <f t="shared" ca="1" si="1"/>
        <v/>
      </c>
      <c r="D23" s="118" t="str">
        <f ca="1">ORÇAMENTO!O23</f>
        <v>-</v>
      </c>
      <c r="E23" s="164" t="str">
        <f t="shared" ca="1" si="2"/>
        <v>(abra o arquivo 'Referência 03-2025.xlsm)</v>
      </c>
      <c r="F23" s="165" t="str">
        <f ca="1">IF(RegimeExecucao="Global","",ORÇAMENTO.Unidade)</f>
        <v>-</v>
      </c>
      <c r="G23" s="123">
        <f ca="1">IF(RegimeExecucao="Global","",ORÇAMENTO!T23)</f>
        <v>299.10000000000002</v>
      </c>
      <c r="H23" s="123">
        <f ca="1">IF(RegimeExecucao="Global","",ORÇAMENTO!W23)</f>
        <v>0</v>
      </c>
      <c r="I23" s="126">
        <f ca="1">ORÇAMENTO!X23</f>
        <v>0</v>
      </c>
      <c r="J23" s="334" t="e" cm="1">
        <f t="array" aca="1" ref="J23" ca="1">_xlfn.SINGLE(IF($A23="S",IF(CAIXA.Modo,BM.AFAnterior,BM.MEDAnterior),IF(AND(_xlfn.SINGLE(RegimeExecucao)="Global",$I23&gt;0,COUNTIF($AB$13:$AM$13,BM.medicao-1)&gt;0),M23/$I23*100,0)))</f>
        <v>#NAME?</v>
      </c>
      <c r="K23" s="123" t="e">
        <f t="shared" ca="1" si="3"/>
        <v>#NAME?</v>
      </c>
      <c r="L23" s="335" t="e" cm="1">
        <f t="array" aca="1" ref="L23" ca="1">_xlfn.SINGLE(IF($A23="S",IF(CAIXA.Modo,BM.AFAcumulado,BM.MEDAcumulado),IF(AND(_xlfn.SINGLE(RegimeExecucao)="Global",$I23&gt;0,COUNTIF($AB$13:$AM$13,BM.medicao)&gt;0),O23/$I23*100,0)))</f>
        <v>#NAME?</v>
      </c>
      <c r="M23" s="336">
        <f ca="1">IF($A23="S",VTOTALBM,IF($A23=0,0,ROUND(SomaAgrupBM,15-13*ORÇAMENTO!$AF$11)))</f>
        <v>0</v>
      </c>
      <c r="N23" s="337">
        <f t="shared" ca="1" si="4"/>
        <v>0</v>
      </c>
      <c r="O23" s="126">
        <f ca="1">IF($A23="S",VTOTALBM,IF($A23=0,0,ROUND(SomaAgrupBM,15-13*ORÇAMENTO!$AF$11)))</f>
        <v>0</v>
      </c>
      <c r="Q23" s="338"/>
      <c r="R23" s="339"/>
      <c r="T23" s="118" t="str">
        <f t="shared" ca="1" si="5"/>
        <v/>
      </c>
      <c r="U23" s="164" t="str">
        <f t="shared" ca="1" si="6"/>
        <v/>
      </c>
      <c r="V23" s="165" t="str">
        <f ca="1">IF(AND($W23&gt;0,RegimeExecucao="Unitário"),$F23,"")</f>
        <v/>
      </c>
      <c r="W23" s="455">
        <f ca="1">IF($Y23&gt;0,CHOOSE(MATCH(RegimeExecucao,{"Unitário","Global"},0),IF($A23="S",$Y23/$X23,""),($Y23/$X23)*100),0)</f>
        <v>0</v>
      </c>
      <c r="X23" s="340" t="str">
        <f ca="1">IF($Y23&gt;0,CHOOSE(MATCH(RegimeExecucao,{"Unitário","Global"},0),IF($A23="S",ROUND($H23,ORÇAMENTO!$AF$10),""),ROUND($I23,ORÇAMENTO!$AF$11)),"")</f>
        <v/>
      </c>
      <c r="Y23" s="340">
        <f t="shared" ca="1" si="7"/>
        <v>0</v>
      </c>
      <c r="Z23" s="474"/>
      <c r="AB23" s="338"/>
      <c r="AC23" s="438"/>
      <c r="AD23" s="438"/>
      <c r="AE23" s="438"/>
      <c r="AF23" s="438"/>
      <c r="AG23" s="438"/>
      <c r="AH23" s="438"/>
      <c r="AI23" s="438"/>
      <c r="AJ23" s="438"/>
      <c r="AK23" s="438"/>
      <c r="AL23" s="438"/>
      <c r="AM23" s="339"/>
      <c r="AO23" s="662">
        <f ca="1">IF($A23="S",IF(BM!$I23=0,0,CHOOSE(MATCH(RegimeExecucao,{"Global","Unitário"},0),ROUND(ROUND(BM.MEDAcumulado,15-13*BM!$A$9)/100*BM!$I23,15-13*ORÇAMENTO!$AF$11),ROUND(ROUND(BM.MEDAcumulado,15-13*BM!$A$9)*ROUND(BM!$H23,15-13*ORÇAMENTO!$AF$10),15-13*ORÇAMENTO!$AF$11))),IF($A23=0,0,ROUND(SomaAgrupBM,15-13*ORÇAMENTO!$AF$11)))</f>
        <v>0</v>
      </c>
    </row>
    <row r="24" spans="1:41" s="662" customFormat="1" ht="51" x14ac:dyDescent="0.2">
      <c r="A24" s="662" t="str">
        <f ca="1">ORÇAMENTO!C24</f>
        <v>S</v>
      </c>
      <c r="B24" s="662">
        <f ca="1">ORÇAMENTO!D24</f>
        <v>0</v>
      </c>
      <c r="C24" s="115" t="str">
        <f ca="1">IF(OR($I24&gt;0,$A24=1,$A24=2,$A24=3,$A24=4),"F","")</f>
        <v/>
      </c>
      <c r="D24" s="118" t="str">
        <f ca="1">ORÇAMENTO!O24</f>
        <v>-</v>
      </c>
      <c r="E24" s="164" t="str">
        <f ca="1">ORÇAMENTO.Descricao</f>
        <v>(abra o arquivo 'Referência 03-2025.xlsm)</v>
      </c>
      <c r="F24" s="165" t="str">
        <f ca="1">IF(RegimeExecucao="Global","",ORÇAMENTO.Unidade)</f>
        <v>-</v>
      </c>
      <c r="G24" s="123">
        <f ca="1">IF(RegimeExecucao="Global","",ORÇAMENTO!T24)</f>
        <v>100</v>
      </c>
      <c r="H24" s="123">
        <f ca="1">IF(RegimeExecucao="Global","",ORÇAMENTO!W24)</f>
        <v>0</v>
      </c>
      <c r="I24" s="126">
        <f ca="1">ORÇAMENTO!X24</f>
        <v>0</v>
      </c>
      <c r="J24" s="334" t="e" cm="1">
        <f t="array" aca="1" ref="J24" ca="1">_xlfn.SINGLE(IF($A24="S",IF(CAIXA.Modo,BM.AFAnterior,BM.MEDAnterior),IF(AND(_xlfn.SINGLE(RegimeExecucao)="Global",$I24&gt;0,COUNTIF($AB$13:$AM$13,BM.medicao-1)&gt;0),M24/$I24*100,0)))</f>
        <v>#NAME?</v>
      </c>
      <c r="K24" s="123" t="e">
        <f ca="1">L24-J24</f>
        <v>#NAME?</v>
      </c>
      <c r="L24" s="335" t="e" cm="1">
        <f t="array" aca="1" ref="L24" ca="1">_xlfn.SINGLE(IF($A24="S",IF(CAIXA.Modo,BM.AFAcumulado,BM.MEDAcumulado),IF(AND(_xlfn.SINGLE(RegimeExecucao)="Global",$I24&gt;0,COUNTIF($AB$13:$AM$13,BM.medicao)&gt;0),O24/$I24*100,0)))</f>
        <v>#NAME?</v>
      </c>
      <c r="M24" s="336">
        <f ca="1">IF($A24="S",VTOTALBM,IF($A24=0,0,ROUND(SomaAgrupBM,15-13*ORÇAMENTO!$AF$11)))</f>
        <v>0</v>
      </c>
      <c r="N24" s="337">
        <f ca="1">O24-M24</f>
        <v>0</v>
      </c>
      <c r="O24" s="126">
        <f ca="1">IF($A24="S",VTOTALBM,IF($A24=0,0,ROUND(SomaAgrupBM,15-13*ORÇAMENTO!$AF$11)))</f>
        <v>0</v>
      </c>
      <c r="Q24" s="338"/>
      <c r="R24" s="339"/>
      <c r="T24" s="118" t="str">
        <f ca="1">IF($W24&gt;0,$D24,"")</f>
        <v/>
      </c>
      <c r="U24" s="164" t="str">
        <f ca="1">IF($W24&gt;0,$E24,"")</f>
        <v/>
      </c>
      <c r="V24" s="165" t="str">
        <f ca="1">IF(AND($W24&gt;0,RegimeExecucao="Unitário"),$F24,"")</f>
        <v/>
      </c>
      <c r="W24" s="455">
        <f ca="1">IF($Y24&gt;0,CHOOSE(MATCH(RegimeExecucao,{"Unitário","Global"},0),IF($A24="S",$Y24/$X24,""),($Y24/$X24)*100),0)</f>
        <v>0</v>
      </c>
      <c r="X24" s="340" t="str">
        <f ca="1">IF($Y24&gt;0,CHOOSE(MATCH(RegimeExecucao,{"Unitário","Global"},0),IF($A24="S",ROUND($H24,ORÇAMENTO!$AF$10),""),ROUND($I24,ORÇAMENTO!$AF$11)),"")</f>
        <v/>
      </c>
      <c r="Y24" s="340">
        <f ca="1">AO24-O24</f>
        <v>0</v>
      </c>
      <c r="Z24" s="474"/>
      <c r="AB24" s="338"/>
      <c r="AC24" s="438"/>
      <c r="AD24" s="438"/>
      <c r="AE24" s="438"/>
      <c r="AF24" s="438"/>
      <c r="AG24" s="438"/>
      <c r="AH24" s="438"/>
      <c r="AI24" s="438"/>
      <c r="AJ24" s="438"/>
      <c r="AK24" s="438"/>
      <c r="AL24" s="438"/>
      <c r="AM24" s="339"/>
      <c r="AO24" s="662">
        <f ca="1">IF($A24="S",IF(BM!$I24=0,0,CHOOSE(MATCH(RegimeExecucao,{"Global","Unitário"},0),ROUND(ROUND(BM.MEDAcumulado,15-13*BM!$A$9)/100*BM!$I24,15-13*ORÇAMENTO!$AF$11),ROUND(ROUND(BM.MEDAcumulado,15-13*BM!$A$9)*ROUND(BM!$H24,15-13*ORÇAMENTO!$AF$10),15-13*ORÇAMENTO!$AF$11))),IF($A24=0,0,ROUND(SomaAgrupBM,15-13*ORÇAMENTO!$AF$11)))</f>
        <v>0</v>
      </c>
    </row>
    <row r="25" spans="1:41" s="662" customFormat="1" x14ac:dyDescent="0.2">
      <c r="A25" s="662">
        <f ca="1">ORÇAMENTO!C25</f>
        <v>2</v>
      </c>
      <c r="B25" s="662">
        <f ca="1">ORÇAMENTO!D25</f>
        <v>2</v>
      </c>
      <c r="C25" s="115" t="str">
        <f t="shared" ca="1" si="1"/>
        <v>F</v>
      </c>
      <c r="D25" s="118" t="str">
        <f ca="1">ORÇAMENTO!O25</f>
        <v>1.3.</v>
      </c>
      <c r="E25" s="164" t="str">
        <f t="shared" si="2"/>
        <v>COBERTURA</v>
      </c>
      <c r="F25" s="165" t="str">
        <f ca="1">IF(RegimeExecucao="Global","",ORÇAMENTO.Unidade)</f>
        <v>-</v>
      </c>
      <c r="G25" s="123">
        <f ca="1">IF(RegimeExecucao="Global","",ORÇAMENTO!T25)</f>
        <v>0</v>
      </c>
      <c r="H25" s="123">
        <f ca="1">IF(RegimeExecucao="Global","",ORÇAMENTO!W25)</f>
        <v>0</v>
      </c>
      <c r="I25" s="126">
        <f ca="1">ORÇAMENTO!X25</f>
        <v>0</v>
      </c>
      <c r="J25" s="334" t="e" cm="1">
        <f t="array" aca="1" ref="J25" ca="1">_xlfn.SINGLE(IF($A25="S",IF(CAIXA.Modo,BM.AFAnterior,BM.MEDAnterior),IF(AND(_xlfn.SINGLE(RegimeExecucao)="Global",$I25&gt;0,COUNTIF($AB$13:$AM$13,BM.medicao-1)&gt;0),M25/$I25*100,0)))</f>
        <v>#NAME?</v>
      </c>
      <c r="K25" s="123" t="e">
        <f t="shared" ca="1" si="3"/>
        <v>#NAME?</v>
      </c>
      <c r="L25" s="335" t="e" cm="1">
        <f t="array" aca="1" ref="L25" ca="1">_xlfn.SINGLE(IF($A25="S",IF(CAIXA.Modo,BM.AFAcumulado,BM.MEDAcumulado),IF(AND(_xlfn.SINGLE(RegimeExecucao)="Global",$I25&gt;0,COUNTIF($AB$13:$AM$13,BM.medicao)&gt;0),O25/$I25*100,0)))</f>
        <v>#NAME?</v>
      </c>
      <c r="M25" s="336">
        <f ca="1">IF($A25="S",VTOTALBM,IF($A25=0,0,ROUND(SomaAgrupBM,15-13*ORÇAMENTO!$AF$11)))</f>
        <v>0</v>
      </c>
      <c r="N25" s="337">
        <f t="shared" ca="1" si="4"/>
        <v>0</v>
      </c>
      <c r="O25" s="126">
        <f ca="1">IF($A25="S",VTOTALBM,IF($A25=0,0,ROUND(SomaAgrupBM,15-13*ORÇAMENTO!$AF$11)))</f>
        <v>0</v>
      </c>
      <c r="Q25" s="338"/>
      <c r="R25" s="339"/>
      <c r="T25" s="118" t="str">
        <f t="shared" ca="1" si="5"/>
        <v/>
      </c>
      <c r="U25" s="164" t="str">
        <f t="shared" ca="1" si="6"/>
        <v/>
      </c>
      <c r="V25" s="165" t="str">
        <f ca="1">IF(AND($W25&gt;0,RegimeExecucao="Unitário"),$F25,"")</f>
        <v/>
      </c>
      <c r="W25" s="455">
        <f ca="1">IF($Y25&gt;0,CHOOSE(MATCH(RegimeExecucao,{"Unitário","Global"},0),IF($A25="S",$Y25/$X25,""),($Y25/$X25)*100),0)</f>
        <v>0</v>
      </c>
      <c r="X25" s="340" t="str">
        <f ca="1">IF($Y25&gt;0,CHOOSE(MATCH(RegimeExecucao,{"Unitário","Global"},0),IF($A25="S",ROUND($H25,ORÇAMENTO!$AF$10),""),ROUND($I25,ORÇAMENTO!$AF$11)),"")</f>
        <v/>
      </c>
      <c r="Y25" s="340">
        <f t="shared" ca="1" si="7"/>
        <v>0</v>
      </c>
      <c r="Z25" s="474"/>
      <c r="AB25" s="338"/>
      <c r="AC25" s="438"/>
      <c r="AD25" s="438"/>
      <c r="AE25" s="438"/>
      <c r="AF25" s="438"/>
      <c r="AG25" s="438"/>
      <c r="AH25" s="438"/>
      <c r="AI25" s="438"/>
      <c r="AJ25" s="438"/>
      <c r="AK25" s="438"/>
      <c r="AL25" s="438"/>
      <c r="AM25" s="339"/>
      <c r="AO25" s="662">
        <f ca="1">IF($A25="S",IF(BM!$I25=0,0,CHOOSE(MATCH(RegimeExecucao,{"Global","Unitário"},0),ROUND(ROUND(BM.MEDAcumulado,15-13*BM!$A$9)/100*BM!$I25,15-13*ORÇAMENTO!$AF$11),ROUND(ROUND(BM.MEDAcumulado,15-13*BM!$A$9)*ROUND(BM!$H25,15-13*ORÇAMENTO!$AF$10),15-13*ORÇAMENTO!$AF$11))),IF($A25=0,0,ROUND(SomaAgrupBM,15-13*ORÇAMENTO!$AF$11)))</f>
        <v>0</v>
      </c>
    </row>
    <row r="26" spans="1:41" s="662" customFormat="1" ht="25.5" x14ac:dyDescent="0.2">
      <c r="A26" s="662" t="str">
        <f ca="1">ORÇAMENTO!C26</f>
        <v>S</v>
      </c>
      <c r="B26" s="662">
        <f ca="1">ORÇAMENTO!D26</f>
        <v>0</v>
      </c>
      <c r="C26" s="115" t="str">
        <f t="shared" ca="1" si="1"/>
        <v/>
      </c>
      <c r="D26" s="118" t="str">
        <f ca="1">ORÇAMENTO!O26</f>
        <v>-</v>
      </c>
      <c r="E26" s="164" t="str">
        <f t="shared" ca="1" si="2"/>
        <v>(abra o arquivo 'Referência 03-2025.xlsm)</v>
      </c>
      <c r="F26" s="165" t="str">
        <f ca="1">IF(RegimeExecucao="Global","",ORÇAMENTO.Unidade)</f>
        <v>-</v>
      </c>
      <c r="G26" s="123">
        <f ca="1">IF(RegimeExecucao="Global","",ORÇAMENTO!T26)</f>
        <v>100</v>
      </c>
      <c r="H26" s="123">
        <f ca="1">IF(RegimeExecucao="Global","",ORÇAMENTO!W26)</f>
        <v>0</v>
      </c>
      <c r="I26" s="126">
        <f ca="1">ORÇAMENTO!X26</f>
        <v>0</v>
      </c>
      <c r="J26" s="334" t="e" cm="1">
        <f t="array" aca="1" ref="J26" ca="1">_xlfn.SINGLE(IF($A26="S",IF(CAIXA.Modo,BM.AFAnterior,BM.MEDAnterior),IF(AND(_xlfn.SINGLE(RegimeExecucao)="Global",$I26&gt;0,COUNTIF($AB$13:$AM$13,BM.medicao-1)&gt;0),M26/$I26*100,0)))</f>
        <v>#NAME?</v>
      </c>
      <c r="K26" s="123" t="e">
        <f t="shared" ca="1" si="3"/>
        <v>#NAME?</v>
      </c>
      <c r="L26" s="335" t="e" cm="1">
        <f t="array" aca="1" ref="L26" ca="1">_xlfn.SINGLE(IF($A26="S",IF(CAIXA.Modo,BM.AFAcumulado,BM.MEDAcumulado),IF(AND(_xlfn.SINGLE(RegimeExecucao)="Global",$I26&gt;0,COUNTIF($AB$13:$AM$13,BM.medicao)&gt;0),O26/$I26*100,0)))</f>
        <v>#NAME?</v>
      </c>
      <c r="M26" s="336">
        <f ca="1">IF($A26="S",VTOTALBM,IF($A26=0,0,ROUND(SomaAgrupBM,15-13*ORÇAMENTO!$AF$11)))</f>
        <v>0</v>
      </c>
      <c r="N26" s="337">
        <f t="shared" ca="1" si="4"/>
        <v>0</v>
      </c>
      <c r="O26" s="126">
        <f ca="1">IF($A26="S",VTOTALBM,IF($A26=0,0,ROUND(SomaAgrupBM,15-13*ORÇAMENTO!$AF$11)))</f>
        <v>0</v>
      </c>
      <c r="Q26" s="338"/>
      <c r="R26" s="339"/>
      <c r="T26" s="118" t="str">
        <f t="shared" ca="1" si="5"/>
        <v/>
      </c>
      <c r="U26" s="164" t="str">
        <f t="shared" ca="1" si="6"/>
        <v/>
      </c>
      <c r="V26" s="165" t="str">
        <f ca="1">IF(AND($W26&gt;0,RegimeExecucao="Unitário"),$F26,"")</f>
        <v/>
      </c>
      <c r="W26" s="455">
        <f ca="1">IF($Y26&gt;0,CHOOSE(MATCH(RegimeExecucao,{"Unitário","Global"},0),IF($A26="S",$Y26/$X26,""),($Y26/$X26)*100),0)</f>
        <v>0</v>
      </c>
      <c r="X26" s="340" t="str">
        <f ca="1">IF($Y26&gt;0,CHOOSE(MATCH(RegimeExecucao,{"Unitário","Global"},0),IF($A26="S",ROUND($H26,ORÇAMENTO!$AF$10),""),ROUND($I26,ORÇAMENTO!$AF$11)),"")</f>
        <v/>
      </c>
      <c r="Y26" s="340">
        <f t="shared" ca="1" si="7"/>
        <v>0</v>
      </c>
      <c r="Z26" s="474"/>
      <c r="AB26" s="338"/>
      <c r="AC26" s="438"/>
      <c r="AD26" s="438"/>
      <c r="AE26" s="438"/>
      <c r="AF26" s="438"/>
      <c r="AG26" s="438"/>
      <c r="AH26" s="438"/>
      <c r="AI26" s="438"/>
      <c r="AJ26" s="438"/>
      <c r="AK26" s="438"/>
      <c r="AL26" s="438"/>
      <c r="AM26" s="339"/>
      <c r="AO26" s="662">
        <f ca="1">IF($A26="S",IF(BM!$I26=0,0,CHOOSE(MATCH(RegimeExecucao,{"Global","Unitário"},0),ROUND(ROUND(BM.MEDAcumulado,15-13*BM!$A$9)/100*BM!$I26,15-13*ORÇAMENTO!$AF$11),ROUND(ROUND(BM.MEDAcumulado,15-13*BM!$A$9)*ROUND(BM!$H26,15-13*ORÇAMENTO!$AF$10),15-13*ORÇAMENTO!$AF$11))),IF($A26=0,0,ROUND(SomaAgrupBM,15-13*ORÇAMENTO!$AF$11)))</f>
        <v>0</v>
      </c>
    </row>
    <row r="27" spans="1:41" ht="5.0999999999999996" customHeight="1" x14ac:dyDescent="0.2">
      <c r="C27" s="115" t="s">
        <v>538</v>
      </c>
      <c r="D27" s="626"/>
      <c r="E27" s="627"/>
      <c r="F27" s="627"/>
      <c r="G27" s="627"/>
      <c r="H27" s="627"/>
      <c r="I27" s="420"/>
      <c r="J27" s="626"/>
      <c r="K27" s="627"/>
      <c r="L27" s="420"/>
      <c r="M27" s="435"/>
      <c r="N27" s="436"/>
      <c r="O27" s="437"/>
      <c r="Q27" s="626"/>
      <c r="R27" s="420"/>
      <c r="T27" s="626"/>
      <c r="U27" s="627"/>
      <c r="V27" s="627"/>
      <c r="W27" s="627"/>
      <c r="X27" s="627"/>
      <c r="Y27" s="627"/>
      <c r="Z27" s="420"/>
      <c r="AB27" s="626"/>
      <c r="AC27" s="627"/>
      <c r="AD27" s="627"/>
      <c r="AE27" s="627"/>
      <c r="AF27" s="627"/>
      <c r="AG27" s="627"/>
      <c r="AH27" s="627"/>
      <c r="AI27" s="627"/>
      <c r="AJ27" s="627"/>
      <c r="AK27" s="627"/>
      <c r="AL27" s="627"/>
      <c r="AM27" s="420"/>
    </row>
    <row r="29" spans="1:41" ht="14.25" x14ac:dyDescent="0.2">
      <c r="D29" s="799" t="s">
        <v>692</v>
      </c>
      <c r="E29" s="799"/>
      <c r="F29" s="799"/>
      <c r="G29" s="799"/>
      <c r="H29" s="799"/>
      <c r="I29" s="799"/>
      <c r="J29" s="799"/>
      <c r="K29" s="799"/>
      <c r="L29" s="799"/>
      <c r="M29" s="799"/>
      <c r="N29" s="799"/>
      <c r="O29" s="799"/>
      <c r="T29" s="800" t="s">
        <v>870</v>
      </c>
      <c r="U29" s="800"/>
      <c r="V29" s="800"/>
      <c r="W29" s="800"/>
      <c r="X29" s="800"/>
      <c r="Y29" s="800"/>
      <c r="Z29" s="800"/>
    </row>
    <row r="30" spans="1:41" ht="12.75" customHeight="1" x14ac:dyDescent="0.2">
      <c r="D30" s="711"/>
      <c r="E30" s="711"/>
      <c r="F30" s="711"/>
      <c r="G30" s="711"/>
      <c r="H30" s="711"/>
      <c r="I30" s="711"/>
      <c r="J30" s="711"/>
      <c r="K30" s="711"/>
      <c r="L30" s="711"/>
      <c r="M30" s="711"/>
      <c r="N30" s="711"/>
      <c r="O30" s="711"/>
      <c r="T30" s="801"/>
      <c r="U30" s="801"/>
      <c r="V30" s="801"/>
      <c r="W30" s="801"/>
      <c r="X30" s="801"/>
      <c r="Y30" s="801"/>
      <c r="Z30" s="801"/>
    </row>
    <row r="31" spans="1:41" ht="12.75" customHeight="1" x14ac:dyDescent="0.2">
      <c r="D31" s="711"/>
      <c r="E31" s="711"/>
      <c r="F31" s="711"/>
      <c r="G31" s="711"/>
      <c r="H31" s="711"/>
      <c r="I31" s="711"/>
      <c r="J31" s="711"/>
      <c r="K31" s="711"/>
      <c r="L31" s="711"/>
      <c r="M31" s="711"/>
      <c r="N31" s="711"/>
      <c r="O31" s="711"/>
      <c r="T31" s="801"/>
      <c r="U31" s="801"/>
      <c r="V31" s="801"/>
      <c r="W31" s="801"/>
      <c r="X31" s="801"/>
      <c r="Y31" s="801"/>
      <c r="Z31" s="801"/>
    </row>
    <row r="32" spans="1:41" ht="12.75" customHeight="1" x14ac:dyDescent="0.2">
      <c r="D32" s="711"/>
      <c r="E32" s="711"/>
      <c r="F32" s="711"/>
      <c r="G32" s="711"/>
      <c r="H32" s="711"/>
      <c r="I32" s="711"/>
      <c r="J32" s="711"/>
      <c r="K32" s="711"/>
      <c r="L32" s="711"/>
      <c r="M32" s="711"/>
      <c r="N32" s="711"/>
      <c r="O32" s="711"/>
      <c r="T32" s="801"/>
      <c r="U32" s="801"/>
      <c r="V32" s="801"/>
      <c r="W32" s="801"/>
      <c r="X32" s="801"/>
      <c r="Y32" s="801"/>
      <c r="Z32" s="801"/>
    </row>
    <row r="33" spans="4:26" ht="14.25" x14ac:dyDescent="0.2">
      <c r="D33" s="444"/>
      <c r="E33" s="444"/>
      <c r="F33" s="444"/>
      <c r="G33" s="444"/>
      <c r="H33" s="444"/>
      <c r="I33" s="444"/>
      <c r="J33" s="444"/>
      <c r="K33" s="444"/>
      <c r="L33" s="444"/>
      <c r="M33" s="444"/>
      <c r="N33" s="444"/>
      <c r="O33" s="444"/>
    </row>
    <row r="34" spans="4:26" ht="15" customHeight="1" x14ac:dyDescent="0.25">
      <c r="D34" s="712" t="str">
        <f ca="1">IF(OR(AND(ORÇAMENTO!$AF$7=FALSE,ORÇAMENTO!$AF$10=FALSE,RegimeExecucao="Global"),AND(ORÇAMENTO!$AF$7=FALSE,ORÇAMENTO!$AF$10=FALSE,ORÇAMENTO!$AF$11=FALSE,BM!$A$9=FALSE)),"Não foi considerado arredondamento nos valores da planilha.",CONCATENATE("Foi considerado arredondamento de duas casas decimais para ",IF(AND(RegimeExecucao="Unitário",ORÇAMENTO!$AF$7=TRUE),"Quantidade; ",""),IF(AND(RegimeExecucao="Unitário",ORÇAMENTO!$AF$10=TRUE),"Preço unitário; ",""),IF(ORÇAMENTO!$AF$11=TRUE,"Preço total; ",""),,IF(BM!$A$9=TRUE,"Medição.","")))</f>
        <v>Foi considerado arredondamento de duas casas decimais para Quantidade; Preço unitário; Preço total; Medição.</v>
      </c>
      <c r="E34" s="712"/>
      <c r="F34" s="712"/>
      <c r="G34" s="712"/>
      <c r="H34" s="712"/>
      <c r="I34" s="712"/>
      <c r="J34" s="712"/>
      <c r="K34" s="712"/>
      <c r="L34" s="712"/>
    </row>
    <row r="35" spans="4:26" x14ac:dyDescent="0.2">
      <c r="D35" s="797"/>
      <c r="E35" s="797"/>
      <c r="F35" s="797"/>
      <c r="G35" s="797"/>
      <c r="H35" s="797"/>
      <c r="I35" s="797"/>
    </row>
    <row r="36" spans="4:26" x14ac:dyDescent="0.2">
      <c r="D36" s="795" t="str">
        <f>IF(CAIXA.Modo,"","Os serviços medidos informados neste BM encontram-se concluídos, estão em conformidade com os projetos e especificações aceitos pela CAIXA e foram executados de acordo com as normas técnicas.")</f>
        <v>Os serviços medidos informados neste BM encontram-se concluídos, estão em conformidade com os projetos e especificações aceitos pela CAIXA e foram executados de acordo com as normas técnicas.</v>
      </c>
      <c r="E36" s="795"/>
      <c r="F36" s="795"/>
      <c r="G36" s="795"/>
      <c r="H36" s="795"/>
      <c r="I36" s="795"/>
      <c r="J36" s="795"/>
      <c r="K36" s="795"/>
      <c r="L36" s="795"/>
      <c r="M36" s="795"/>
      <c r="N36" s="795"/>
      <c r="O36" s="795"/>
    </row>
    <row r="37" spans="4:26" ht="39.950000000000003" customHeight="1" x14ac:dyDescent="0.25">
      <c r="E37" s="139" t="str">
        <f>Import.Município</f>
        <v>CAÇAPAVA DO SUL/RS</v>
      </c>
      <c r="J37" s="592" t="str">
        <f ca="1">IF(DADOS!$D$50&lt;&gt;"","Preencher os Dados do Responsável pela Fiscalização, na aba DADOS.","")</f>
        <v/>
      </c>
      <c r="K37" s="592"/>
      <c r="L37" s="592"/>
      <c r="M37" s="592"/>
      <c r="W37" s="796"/>
      <c r="X37" s="796"/>
      <c r="Y37" s="796"/>
      <c r="Z37" s="796"/>
    </row>
    <row r="38" spans="4:26" x14ac:dyDescent="0.2">
      <c r="E38" s="9" t="s">
        <v>696</v>
      </c>
      <c r="J38" s="182" t="s">
        <v>846</v>
      </c>
      <c r="W38" s="182" t="s">
        <v>871</v>
      </c>
    </row>
    <row r="39" spans="4:26" x14ac:dyDescent="0.2">
      <c r="J39" s="77" t="s">
        <v>241</v>
      </c>
      <c r="K39" s="272">
        <f t="array" ref="K39:K42">Import.RespFiscalização</f>
        <v>0</v>
      </c>
      <c r="L39" s="78"/>
      <c r="W39" s="77" t="s">
        <v>241</v>
      </c>
      <c r="X39" s="794"/>
      <c r="Y39" s="794"/>
      <c r="Z39" s="794"/>
    </row>
    <row r="40" spans="4:26" x14ac:dyDescent="0.2">
      <c r="E40" s="460">
        <f>DADOS!$C$48</f>
        <v>0</v>
      </c>
      <c r="J40" s="77" t="s">
        <v>321</v>
      </c>
      <c r="K40" s="272">
        <v>0</v>
      </c>
      <c r="L40" s="78"/>
      <c r="W40" s="77" t="s">
        <v>872</v>
      </c>
      <c r="X40" s="794"/>
      <c r="Y40" s="794"/>
      <c r="Z40" s="794"/>
    </row>
    <row r="41" spans="4:26" x14ac:dyDescent="0.2">
      <c r="E41" s="141" t="s">
        <v>697</v>
      </c>
      <c r="J41" s="77" t="s">
        <v>244</v>
      </c>
      <c r="K41" s="272">
        <v>0</v>
      </c>
      <c r="L41" s="78"/>
      <c r="W41" s="77" t="s">
        <v>244</v>
      </c>
      <c r="X41" s="794"/>
      <c r="Y41" s="794"/>
      <c r="Z41" s="794"/>
    </row>
    <row r="42" spans="4:26" x14ac:dyDescent="0.2">
      <c r="J42" s="77" t="s">
        <v>247</v>
      </c>
      <c r="K42" s="12">
        <v>0</v>
      </c>
      <c r="W42" s="77"/>
      <c r="X42" s="12"/>
    </row>
  </sheetData>
  <sheetProtection password="BD1F" sheet="1" objects="1" scenarios="1" autoFilter="0"/>
  <autoFilter ref="C15:C27"/>
  <mergeCells count="33">
    <mergeCell ref="D5:E5"/>
    <mergeCell ref="F5:H5"/>
    <mergeCell ref="J5:N5"/>
    <mergeCell ref="A3:B3"/>
    <mergeCell ref="D4:E4"/>
    <mergeCell ref="F4:H4"/>
    <mergeCell ref="J4:N4"/>
    <mergeCell ref="C8:C12"/>
    <mergeCell ref="F8:H8"/>
    <mergeCell ref="I8:L8"/>
    <mergeCell ref="M8:N8"/>
    <mergeCell ref="F10:I11"/>
    <mergeCell ref="AB11:AM11"/>
    <mergeCell ref="J12:L12"/>
    <mergeCell ref="M12:O12"/>
    <mergeCell ref="Q12:R12"/>
    <mergeCell ref="F7:H7"/>
    <mergeCell ref="I7:L7"/>
    <mergeCell ref="M7:N7"/>
    <mergeCell ref="T11:U11"/>
    <mergeCell ref="D34:L34"/>
    <mergeCell ref="D35:I35"/>
    <mergeCell ref="AB15:AM15"/>
    <mergeCell ref="D29:O29"/>
    <mergeCell ref="T29:Z29"/>
    <mergeCell ref="D30:O32"/>
    <mergeCell ref="T30:Z32"/>
    <mergeCell ref="D15:E15"/>
    <mergeCell ref="X41:Z41"/>
    <mergeCell ref="D36:O36"/>
    <mergeCell ref="W37:Z37"/>
    <mergeCell ref="X39:Z39"/>
    <mergeCell ref="X40:Z40"/>
  </mergeCells>
  <phoneticPr fontId="38" type="noConversion"/>
  <conditionalFormatting sqref="D14:O14 T14:Z14 D16:O18 T16:Z18 T20:Z23 D20:O23">
    <cfRule type="expression" dxfId="72" priority="11194" stopIfTrue="1">
      <formula>OR(ACOMPANHAMENTO="PLE",TIPOORCAMENTO="Proposto",$L14&lt;0,AND($L14&gt;100,RegimeExecucao="Global"),$O14&gt;$I14,$O14&lt;0)</formula>
    </cfRule>
    <cfRule type="expression" dxfId="71" priority="11195" stopIfTrue="1">
      <formula>$A14=1</formula>
    </cfRule>
    <cfRule type="expression" dxfId="70" priority="11196" stopIfTrue="1">
      <formula>$A14&lt;&gt;"S"</formula>
    </cfRule>
  </conditionalFormatting>
  <conditionalFormatting sqref="Q14:R14 AB14:AM14 Q16:R18 AB16:AM18 AB20:AM23 Q20:R23">
    <cfRule type="expression" dxfId="69" priority="11197" stopIfTrue="1">
      <formula>$A14=1</formula>
    </cfRule>
    <cfRule type="expression" dxfId="68" priority="11198" stopIfTrue="1">
      <formula>$A14&lt;&gt;"S"</formula>
    </cfRule>
  </conditionalFormatting>
  <conditionalFormatting sqref="E2">
    <cfRule type="expression" dxfId="67" priority="11199" stopIfTrue="1">
      <formula>Import.RegimeExecução="(SELECIONAR)"</formula>
    </cfRule>
  </conditionalFormatting>
  <conditionalFormatting sqref="F13:H13">
    <cfRule type="expression" dxfId="66" priority="11200" stopIfTrue="1">
      <formula>RegimeExecucao="Global"</formula>
    </cfRule>
  </conditionalFormatting>
  <conditionalFormatting sqref="D15:O15">
    <cfRule type="expression" dxfId="65" priority="11201" stopIfTrue="1">
      <formula>OR(ACOMPANHAMENTO="PLE",TIPOORCAMENTO="Proposto")</formula>
    </cfRule>
  </conditionalFormatting>
  <conditionalFormatting sqref="AB13">
    <cfRule type="cellIs" dxfId="64" priority="11202" stopIfTrue="1" operator="notEqual">
      <formula>1</formula>
    </cfRule>
  </conditionalFormatting>
  <conditionalFormatting sqref="O11">
    <cfRule type="expression" dxfId="63" priority="6061">
      <formula>ROUND($P$11,4)&gt;ROUND($P$10,4)</formula>
    </cfRule>
  </conditionalFormatting>
  <conditionalFormatting sqref="T25:Z26 D25:O26">
    <cfRule type="expression" dxfId="62" priority="26" stopIfTrue="1">
      <formula>OR(ACOMPANHAMENTO="PLE",TIPOORCAMENTO="Proposto",$L25&lt;0,AND($L25&gt;100,RegimeExecucao="Global"),$O25&gt;$I25,$O25&lt;0)</formula>
    </cfRule>
    <cfRule type="expression" dxfId="61" priority="27" stopIfTrue="1">
      <formula>$A25=1</formula>
    </cfRule>
    <cfRule type="expression" dxfId="60" priority="28" stopIfTrue="1">
      <formula>$A25&lt;&gt;"S"</formula>
    </cfRule>
  </conditionalFormatting>
  <conditionalFormatting sqref="AB25:AM26 Q25:R26">
    <cfRule type="expression" dxfId="59" priority="29" stopIfTrue="1">
      <formula>$A25=1</formula>
    </cfRule>
    <cfRule type="expression" dxfId="58" priority="30" stopIfTrue="1">
      <formula>$A25&lt;&gt;"S"</formula>
    </cfRule>
  </conditionalFormatting>
  <conditionalFormatting sqref="D24:O24 T24:Z24">
    <cfRule type="expression" dxfId="57" priority="6" stopIfTrue="1">
      <formula>OR(ACOMPANHAMENTO="PLE",TIPOORCAMENTO="Proposto",$L24&lt;0,AND($L24&gt;100,RegimeExecucao="Global"),$O24&gt;$I24,$O24&lt;0)</formula>
    </cfRule>
    <cfRule type="expression" dxfId="56" priority="7" stopIfTrue="1">
      <formula>$A24=1</formula>
    </cfRule>
    <cfRule type="expression" dxfId="55" priority="8" stopIfTrue="1">
      <formula>$A24&lt;&gt;"S"</formula>
    </cfRule>
  </conditionalFormatting>
  <conditionalFormatting sqref="Q24:R24 AB24:AM24">
    <cfRule type="expression" dxfId="54" priority="9" stopIfTrue="1">
      <formula>$A24=1</formula>
    </cfRule>
    <cfRule type="expression" dxfId="53" priority="10" stopIfTrue="1">
      <formula>$A24&lt;&gt;"S"</formula>
    </cfRule>
  </conditionalFormatting>
  <conditionalFormatting sqref="D19:O19 T19:Z19">
    <cfRule type="expression" dxfId="52" priority="1" stopIfTrue="1">
      <formula>OR(ACOMPANHAMENTO="PLE",TIPOORCAMENTO="Proposto",$L19&lt;0,AND($L19&gt;100,RegimeExecucao="Global"),$O19&gt;$I19,$O19&lt;0)</formula>
    </cfRule>
    <cfRule type="expression" dxfId="51" priority="2" stopIfTrue="1">
      <formula>$A19=1</formula>
    </cfRule>
    <cfRule type="expression" dxfId="50" priority="3" stopIfTrue="1">
      <formula>$A19&lt;&gt;"S"</formula>
    </cfRule>
  </conditionalFormatting>
  <conditionalFormatting sqref="Q19:R19 AB19:AM19">
    <cfRule type="expression" dxfId="49" priority="4" stopIfTrue="1">
      <formula>$A19=1</formula>
    </cfRule>
    <cfRule type="expression" dxfId="48" priority="5" stopIfTrue="1">
      <formula>$A19&lt;&gt;"S"</formula>
    </cfRule>
  </conditionalFormatting>
  <dataValidations count="4">
    <dataValidation type="list" allowBlank="1" showErrorMessage="1" sqref="Z14 Z16:Z26">
      <formula1>"não executado,não previsto no orçamento,material inadequado,desacordo com os projetos,não atende as observações,qualidade insatisfatória,ver observações abaixo"</formula1>
      <formula2>0</formula2>
    </dataValidation>
    <dataValidation type="decimal" errorStyle="warning" allowBlank="1" showErrorMessage="1" errorTitle="Atenção!" error="Digite somente valores entre 0 e a Medição Acumulada." sqref="Q14:R14 Q16:R26">
      <formula1>0</formula1>
      <formula2>BM.MEDAcumulado</formula2>
    </dataValidation>
    <dataValidation type="whole" operator="greaterThan" allowBlank="1" showInputMessage="1" showErrorMessage="1" sqref="O8">
      <formula1>0</formula1>
    </dataValidation>
    <dataValidation type="decimal" errorStyle="warning" allowBlank="1" showErrorMessage="1" errorTitle="Atenção!" error="% medido é superior a 100% (Global)_x000a_ou_x000a_Quantidade é superior a contratada  (P. Unit)_x000a_ou_x000a_Evolução acumulada negativa" sqref="AB14:AM14 AB16:AM26">
      <formula1>BM.MinMed</formula1>
      <formula2>BM.MaxMed</formula2>
    </dataValidation>
  </dataValidations>
  <pageMargins left="0.78740157480314998" right="0.78740157480314998" top="0.78740157480314998" bottom="0.78740157480314998" header="0.59055118110236204" footer="0.59055118110236204"/>
  <pageSetup paperSize="9" scale="59" firstPageNumber="0" fitToHeight="0" orientation="landscape" r:id="rId1"/>
  <headerFooter alignWithMargins="0">
    <oddHeader>&amp;C&amp;14I</oddHeader>
    <oddFooter>&amp;LPMv3.10&amp;R&amp;P /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2295" r:id="rId4" name="CaixaArredMed">
              <controlPr defaultSize="0" print="0" autoFill="0" autoLine="0" autoPict="0">
                <anchor moveWithCells="1" sizeWithCells="1">
                  <from>
                    <xdr:col>10</xdr:col>
                    <xdr:colOff>219075</xdr:colOff>
                    <xdr:row>9</xdr:row>
                    <xdr:rowOff>47625</xdr:rowOff>
                  </from>
                  <to>
                    <xdr:col>10</xdr:col>
                    <xdr:colOff>523875</xdr:colOff>
                    <xdr:row>10</xdr:row>
                    <xdr:rowOff>114300</xdr:rowOff>
                  </to>
                </anchor>
              </controlPr>
            </control>
          </mc:Choice>
        </mc:AlternateContent>
        <mc:AlternateContent xmlns:mc="http://schemas.openxmlformats.org/markup-compatibility/2006">
          <mc:Choice Requires="x14">
            <control shapeId="12296" r:id="rId5" name="Botão de rotação 23">
              <controlPr defaultSize="0" print="0" autoFill="0" autoLine="0" autoPict="0">
                <anchor moveWithCells="1" sizeWithCells="1">
                  <from>
                    <xdr:col>15</xdr:col>
                    <xdr:colOff>28575</xdr:colOff>
                    <xdr:row>6</xdr:row>
                    <xdr:rowOff>123825</xdr:rowOff>
                  </from>
                  <to>
                    <xdr:col>15</xdr:col>
                    <xdr:colOff>266700</xdr:colOff>
                    <xdr:row>8</xdr:row>
                    <xdr:rowOff>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14">
    <pageSetUpPr fitToPage="1"/>
  </sheetPr>
  <dimension ref="A1:AO49"/>
  <sheetViews>
    <sheetView showGridLines="0" zoomScaleNormal="100" zoomScaleSheetLayoutView="90" workbookViewId="0">
      <pane xSplit="6" ySplit="13" topLeftCell="G14" activePane="bottomRight" state="frozen"/>
      <selection pane="topRight" activeCell="G1" sqref="G1"/>
      <selection pane="bottomLeft" activeCell="D14" sqref="D14"/>
      <selection pane="bottomRight"/>
    </sheetView>
  </sheetViews>
  <sheetFormatPr defaultRowHeight="12.75" x14ac:dyDescent="0.2"/>
  <cols>
    <col min="1" max="3" width="9.140625" hidden="1" customWidth="1"/>
    <col min="4" max="4" width="3.5703125" customWidth="1"/>
    <col min="5" max="5" width="7.5703125" customWidth="1"/>
    <col min="6" max="6" width="35.5703125" customWidth="1"/>
    <col min="7" max="7" width="15.5703125" customWidth="1"/>
    <col min="8" max="8" width="12.5703125" customWidth="1"/>
    <col min="9" max="9" width="7.5703125" customWidth="1"/>
    <col min="10" max="10" width="16.5703125" customWidth="1"/>
    <col min="11" max="11" width="5.5703125" customWidth="1"/>
    <col min="12" max="15" width="16.5703125" customWidth="1"/>
    <col min="16" max="16" width="11.5703125" customWidth="1"/>
    <col min="17" max="21" width="9.140625" hidden="1" customWidth="1"/>
    <col min="22" max="22" width="12.140625" hidden="1" customWidth="1"/>
    <col min="23" max="24" width="5.5703125" customWidth="1"/>
    <col min="25" max="26" width="16.5703125" customWidth="1"/>
    <col min="27" max="27" width="1.5703125" customWidth="1"/>
    <col min="29" max="41" width="9.140625" hidden="1" customWidth="1"/>
  </cols>
  <sheetData>
    <row r="1" spans="1:41" ht="30" customHeight="1" x14ac:dyDescent="0.2">
      <c r="F1" s="347" t="str">
        <f>CONCATENATE("RRE - RELATÓRIO RESUMO DO EMPREENDIMENTO - ",IF(CAIXA.Modo,"CAIXA","TOMADOR"))</f>
        <v>RRE - RELATÓRIO RESUMO DO EMPREENDIMENTO - TOMADOR</v>
      </c>
      <c r="H1" s="8"/>
      <c r="I1" s="8"/>
      <c r="P1" s="493" t="s">
        <v>873</v>
      </c>
      <c r="AD1" s="656" t="s">
        <v>874</v>
      </c>
      <c r="AE1" s="348" t="s">
        <v>875</v>
      </c>
    </row>
    <row r="2" spans="1:41" x14ac:dyDescent="0.2">
      <c r="AC2" s="349" t="str">
        <f>J25</f>
        <v>Repasse</v>
      </c>
      <c r="AD2" s="350" t="e">
        <f ca="1">AD6-AD4-AD3</f>
        <v>#NAME?</v>
      </c>
      <c r="AE2" s="350" t="e">
        <f ca="1">AE6-AE4-AE3</f>
        <v>#NAME?</v>
      </c>
    </row>
    <row r="3" spans="1:41" x14ac:dyDescent="0.2">
      <c r="E3" s="701" t="s">
        <v>654</v>
      </c>
      <c r="F3" s="701"/>
      <c r="G3" s="701"/>
      <c r="H3" s="701"/>
      <c r="I3" s="689" t="s">
        <v>652</v>
      </c>
      <c r="J3" s="689"/>
      <c r="K3" s="689"/>
      <c r="L3" s="88" t="s">
        <v>710</v>
      </c>
      <c r="M3" s="147"/>
      <c r="O3" s="351"/>
      <c r="P3" s="275" t="s">
        <v>718</v>
      </c>
      <c r="R3" s="147"/>
      <c r="S3" s="147"/>
      <c r="T3" s="147"/>
      <c r="U3" s="147"/>
      <c r="AC3" s="349" t="s">
        <v>458</v>
      </c>
      <c r="AD3" s="350" t="e">
        <f ca="1">SUM(T13:OFFSET(T24,-1,0))</f>
        <v>#NAME?</v>
      </c>
      <c r="AE3" s="350" t="e">
        <f ca="1">IF(OR($O$28&lt;$M$28,$M$26&gt;$AD$3),MIN($M$26,$L$26),MIN($AD$3,$N$28-$N$27+$M$26))</f>
        <v>#NAME?</v>
      </c>
    </row>
    <row r="4" spans="1:41" ht="12.75" customHeight="1" x14ac:dyDescent="0.2">
      <c r="E4" s="706" t="str">
        <f>Import.Proponente</f>
        <v>PREFEITURA MUNICIPAL</v>
      </c>
      <c r="F4" s="706"/>
      <c r="G4" s="706"/>
      <c r="H4" s="706"/>
      <c r="I4" s="693">
        <f>Import.CR</f>
        <v>0</v>
      </c>
      <c r="J4" s="693"/>
      <c r="K4" s="693"/>
      <c r="L4" s="56">
        <f>Import.TransfereGOV</f>
        <v>0</v>
      </c>
      <c r="M4" s="806" t="s">
        <v>814</v>
      </c>
      <c r="N4" s="807"/>
      <c r="O4" s="808"/>
      <c r="P4" s="352" t="str">
        <f>import.recurso</f>
        <v>(SELECIONAR)</v>
      </c>
      <c r="R4" s="147"/>
      <c r="S4" s="147"/>
      <c r="T4" s="351"/>
      <c r="U4" s="351"/>
      <c r="AC4" s="349" t="s">
        <v>876</v>
      </c>
      <c r="AD4" s="350" t="e">
        <f ca="1">SUM(U13:OFFSET(U24,-1,0))</f>
        <v>#NAME?</v>
      </c>
      <c r="AE4" s="350" t="e">
        <f ca="1">IF(OR($O$28&lt;$M$28,$M$27&gt;$AD$4),MIN($M$27,$L$27),MIN($AD$4,$N$28+$M$27))</f>
        <v>#NAME?</v>
      </c>
    </row>
    <row r="5" spans="1:41" ht="5.0999999999999996" customHeight="1" x14ac:dyDescent="0.2">
      <c r="H5" s="278"/>
      <c r="I5" s="278"/>
      <c r="J5" s="278"/>
      <c r="K5" s="278"/>
      <c r="L5" s="278"/>
      <c r="M5" s="353"/>
      <c r="N5" s="266"/>
      <c r="O5" s="4"/>
      <c r="R5" s="147"/>
      <c r="S5" s="147"/>
      <c r="T5" s="147"/>
      <c r="U5" s="147"/>
    </row>
    <row r="6" spans="1:41" ht="12.75" customHeight="1" x14ac:dyDescent="0.2">
      <c r="E6" s="689" t="s">
        <v>711</v>
      </c>
      <c r="F6" s="689"/>
      <c r="G6" s="689"/>
      <c r="H6" s="689"/>
      <c r="I6" s="833" t="s">
        <v>813</v>
      </c>
      <c r="J6" s="833"/>
      <c r="K6" s="833"/>
      <c r="L6" s="833"/>
      <c r="M6" s="55" t="str">
        <f>IF(import.recurso="FGTS","FINANCIAMENTO","REPASSE")</f>
        <v>REPASSE</v>
      </c>
      <c r="N6" s="97" t="s">
        <v>815</v>
      </c>
      <c r="O6" s="55" t="s">
        <v>816</v>
      </c>
      <c r="P6" s="148" t="s">
        <v>877</v>
      </c>
      <c r="R6" s="147"/>
      <c r="S6" s="147"/>
      <c r="T6" s="147"/>
      <c r="U6" s="147"/>
      <c r="AC6" s="349" t="s">
        <v>878</v>
      </c>
      <c r="AD6" s="350" t="e">
        <f ca="1">$O$28</f>
        <v>#NAME?</v>
      </c>
      <c r="AE6" s="350" t="e">
        <f ca="1">AD6</f>
        <v>#NAME?</v>
      </c>
    </row>
    <row r="7" spans="1:41" ht="12.75" customHeight="1" x14ac:dyDescent="0.2">
      <c r="D7" s="682" t="s">
        <v>657</v>
      </c>
      <c r="E7" s="693" t="str">
        <f>Import.Apelido</f>
        <v>COBERTURA DE QUADRA</v>
      </c>
      <c r="F7" s="693"/>
      <c r="G7" s="693"/>
      <c r="H7" s="693"/>
      <c r="I7" s="830" t="str">
        <f>Import.Município</f>
        <v>CAÇAPAVA DO SUL/RS</v>
      </c>
      <c r="J7" s="830"/>
      <c r="K7" s="830"/>
      <c r="L7" s="830"/>
      <c r="M7" s="354">
        <f>Import.Repasse</f>
        <v>0</v>
      </c>
      <c r="N7" s="355">
        <f>Import.Contrapartida</f>
        <v>0</v>
      </c>
      <c r="O7" s="354">
        <f>M7+N7</f>
        <v>0</v>
      </c>
      <c r="P7" s="424">
        <f ca="1">IF(ACOMPANHAMENTO="PLE",PLE.Medicao,BM.medicao)</f>
        <v>1</v>
      </c>
      <c r="R7" s="147"/>
      <c r="S7" s="147"/>
      <c r="T7" s="147"/>
      <c r="U7" s="147"/>
    </row>
    <row r="8" spans="1:41" x14ac:dyDescent="0.2">
      <c r="D8" s="682"/>
      <c r="E8" s="93"/>
      <c r="F8" s="93"/>
      <c r="G8" s="93"/>
      <c r="H8" s="93"/>
      <c r="I8" s="93"/>
      <c r="J8" s="93"/>
      <c r="K8" s="93"/>
      <c r="L8" s="93"/>
      <c r="M8" s="93"/>
      <c r="N8" s="93"/>
      <c r="O8" s="93"/>
      <c r="P8" s="93"/>
      <c r="R8" s="147"/>
      <c r="S8" s="147"/>
      <c r="T8" s="147"/>
      <c r="U8" s="147"/>
    </row>
    <row r="9" spans="1:41" ht="12.75" customHeight="1" x14ac:dyDescent="0.2">
      <c r="D9" s="682"/>
      <c r="G9" s="831" t="s">
        <v>879</v>
      </c>
      <c r="H9" s="831"/>
      <c r="I9" s="831" t="s">
        <v>880</v>
      </c>
      <c r="J9" s="831"/>
      <c r="K9" s="356"/>
      <c r="L9" s="832" t="s">
        <v>820</v>
      </c>
      <c r="M9" s="357" t="s">
        <v>823</v>
      </c>
      <c r="N9" s="279" t="s">
        <v>744</v>
      </c>
      <c r="P9" s="358"/>
      <c r="R9" s="147"/>
      <c r="S9" s="147"/>
      <c r="T9" s="147"/>
      <c r="U9" s="147"/>
      <c r="V9" s="7" t="s">
        <v>881</v>
      </c>
    </row>
    <row r="10" spans="1:41" ht="12.75" customHeight="1" x14ac:dyDescent="0.2">
      <c r="D10" s="682"/>
      <c r="G10" s="695" t="e">
        <f ca="1">IF(J10="-","-",IF($P$24&lt;J10,"Atrasada",IF($P$24&gt;J10,"Adiantada","Normal")))</f>
        <v>#NAME?</v>
      </c>
      <c r="H10" s="695"/>
      <c r="I10" s="359">
        <f>DATE(YEAR($L$35),MONTH($L$35),1)</f>
        <v>1</v>
      </c>
      <c r="J10" s="360">
        <f ca="1">IF($I$10&lt;DATE(YEAR(CRONO!$U$13),MONTH(CRONO!$U$13),1),0,IF($I$10&gt;OFFSET(CRONO!$AG$13,0,-1),1,INDEX(CRONO!$T$32:$AH$32,MATCH(RRE!$I$10,CRONO!$T$13:$AG$13,0))))</f>
        <v>0</v>
      </c>
      <c r="K10" s="356"/>
      <c r="L10" s="832"/>
      <c r="M10" s="361">
        <f ca="1">QCI!L10</f>
        <v>0</v>
      </c>
      <c r="N10" s="281">
        <f ca="1">QCI!M10</f>
        <v>0</v>
      </c>
      <c r="P10" s="358"/>
      <c r="R10" s="147"/>
      <c r="S10" s="147"/>
      <c r="T10" s="147"/>
      <c r="U10" s="147"/>
      <c r="AC10" s="827" t="s">
        <v>76</v>
      </c>
      <c r="AD10" s="827"/>
      <c r="AE10" s="827"/>
      <c r="AF10" s="827"/>
      <c r="AG10" s="827"/>
      <c r="AH10" s="827"/>
      <c r="AJ10" s="827" t="s">
        <v>78</v>
      </c>
      <c r="AK10" s="827"/>
      <c r="AL10" s="827"/>
      <c r="AM10" s="827"/>
      <c r="AN10" s="827"/>
      <c r="AO10" s="827"/>
    </row>
    <row r="11" spans="1:41" ht="20.100000000000001" customHeight="1" x14ac:dyDescent="0.2">
      <c r="D11" s="682"/>
      <c r="M11" s="452" t="str">
        <f>IF(CAIXA.Modo,"Valores Aferidos (R$)","Valores Medidos (R$)")</f>
        <v>Valores Medidos (R$)</v>
      </c>
      <c r="N11" s="452"/>
      <c r="O11" s="452"/>
      <c r="R11" s="362"/>
      <c r="S11" s="362"/>
      <c r="T11" s="452"/>
      <c r="U11" s="452"/>
      <c r="V11" s="449" t="s">
        <v>882</v>
      </c>
      <c r="Y11" s="828" t="str">
        <f>IF(CAIXA.Modo,"Valores Aferidos (R$)","Valores Medidos (R$)")</f>
        <v>Valores Medidos (R$)</v>
      </c>
      <c r="Z11" s="828"/>
      <c r="AC11" s="829" t="s">
        <v>883</v>
      </c>
      <c r="AD11" s="829"/>
      <c r="AE11" s="829"/>
      <c r="AF11" s="829" t="s">
        <v>884</v>
      </c>
      <c r="AG11" s="829"/>
      <c r="AH11" s="829"/>
      <c r="AJ11" s="829" t="s">
        <v>883</v>
      </c>
      <c r="AK11" s="829"/>
      <c r="AL11" s="829"/>
      <c r="AM11" s="829" t="s">
        <v>884</v>
      </c>
      <c r="AN11" s="829"/>
      <c r="AO11" s="829"/>
    </row>
    <row r="12" spans="1:41" hidden="1" x14ac:dyDescent="0.2">
      <c r="A12" t="e">
        <f ca="1">MATCH(E12,ORÇAMENTO!$E$15:$E$27,0)-1</f>
        <v>#N/A</v>
      </c>
      <c r="B12" t="e">
        <f ca="1">IF(ISERROR($A12),NA(),OFFSET(ORÇAMENTO!$D$15,$A12,0))</f>
        <v>#N/A</v>
      </c>
      <c r="C12" t="str">
        <f ca="1">QCI!B12</f>
        <v>Branco</v>
      </c>
      <c r="D12" t="str">
        <f ca="1">IF(L12&gt;0,"F","")</f>
        <v/>
      </c>
      <c r="E12" s="282">
        <f>QCI!D12</f>
        <v>-1</v>
      </c>
      <c r="F12" s="363" t="str">
        <f ca="1">QCI!G12</f>
        <v/>
      </c>
      <c r="G12" s="364">
        <f>QCI!H12</f>
        <v>0</v>
      </c>
      <c r="H12" s="283">
        <f>QCI!I12</f>
        <v>0</v>
      </c>
      <c r="I12" s="283" t="str">
        <f ca="1">QCI!J12</f>
        <v/>
      </c>
      <c r="J12" s="365" t="str">
        <f ca="1">QCI!K12</f>
        <v/>
      </c>
      <c r="K12" s="366" t="e">
        <f ca="1">_xlfn.SINGLE(IF($C12="Automático",IF(_xlfn.SINGLE(ACOMPANHAMENTO)="BM",BM.medicao,PLE.Medicao),IF(ISBLANK($X12),"",$X12)))</f>
        <v>#NAME?</v>
      </c>
      <c r="L12" s="287">
        <f ca="1">QCI!$O12</f>
        <v>0</v>
      </c>
      <c r="M12" s="284">
        <f ca="1">ROUND(IF(C12="Automático",AE12+AL12,Y12),2)</f>
        <v>0</v>
      </c>
      <c r="N12" s="285">
        <f ca="1">O12-M12</f>
        <v>0</v>
      </c>
      <c r="O12" s="286">
        <f ca="1">ROUND(IF(C12="Automático",AH12+AO12,Z12),2)</f>
        <v>0</v>
      </c>
      <c r="P12" s="368">
        <f ca="1">O12/(L12+10^-12)</f>
        <v>0</v>
      </c>
      <c r="R12" s="367">
        <f ca="1">ROUND(IF($C12="Automático",AC12+AJ12,$Y12*IF(ISERROR(QCI!$AA12/QCI!$O12),0,QCI!$AA12/QCI!$O12)),2)</f>
        <v>0</v>
      </c>
      <c r="S12" s="367">
        <f ca="1">ROUND(IF($C12="Automático",AD12+AK12,$Y12*IF(ISERROR(QCI!$AB12/QCI!$O12),0,QCI!$AB12/QCI!$O12)),2)</f>
        <v>0</v>
      </c>
      <c r="T12" s="367">
        <f ca="1">ROUND(IF($C12="Automático",AF12+AM12,$Z12*IF(ISERROR(QCI!$AA12/QCI!$O12),0,QCI!$AA12/QCI!$O12)),2)</f>
        <v>0</v>
      </c>
      <c r="U12" s="367">
        <f ca="1">ROUND(IF($C12="Automático",AG12+AN12,$Z12*IF(ISERROR(QCI!$AB12/QCI!$O12),0,QCI!$AB12/QCI!$O12)),2)</f>
        <v>0</v>
      </c>
      <c r="V12" s="450" t="str">
        <f ca="1">IF(AND($L12&gt;0,$J12&lt;&gt;0,$J12&lt;&gt;"",COUNTIF($J12:$J$13,$J12)=1),OFFSET(V12,-1,0)+1,OFFSET(V12,-1,0))</f>
        <v>Lista CTEFs</v>
      </c>
      <c r="X12" s="514"/>
      <c r="Y12" s="288"/>
      <c r="Z12" s="289"/>
      <c r="AC12" s="184" t="e">
        <f ca="1">IF(_xlfn.SINGLE(ACOMPANHAMENTO)&lt;&gt;"PLE",0,SUMPRODUCT((OFFSET(CÁLCULO!$AX$15:$BH$15,$A12,0,$B12)&lt;=(PLE.Medicao-1))*OFFSET(CÁLCULO!$AB$15:$AL$15,$A12,0,$B12)*OFFSET(ORÇAMENTO!$AA$15,$A12,0,$B12)/(OFFSET(ORÇAMENTO!$X$15,$A12,0,$B12)+10^-12))+IF(AUTOEVENTO="Manual",SUMPRODUCT((OFFSET(CÁLCULO!$M$15,$A12,0,$B12)=1)*OFFSET(ORÇAMENTO!$AA$15,$A12,0,$B12)*(PLE!$AE$9-PLE!$Y$9)),0))</f>
        <v>#NAME?</v>
      </c>
      <c r="AD12" s="184" t="e">
        <f ca="1">IF(_xlfn.SINGLE(ACOMPANHAMENTO)&lt;&gt;"PLE",0,SUMPRODUCT((OFFSET(CÁLCULO!$AX$15:$BH$15,$A12,0,$B12)&lt;=(PLE.Medicao-1))*OFFSET(CÁLCULO!$AB$15:$AL$15,$A12,0,$B12)*OFFSET(ORÇAMENTO!$AB$15,$A12,0,$B12)/(OFFSET(ORÇAMENTO!$X$15,$A12,0,$B12)+10^-12))+IF(AUTOEVENTO="Manual",SUMPRODUCT((OFFSET(CÁLCULO!$M$15,$A12,0,$B12)=1)*OFFSET(ORÇAMENTO!$AB$15,$A12,0,$B12)*(PLE!$AE$9-PLE!$Y$9)),0))</f>
        <v>#NAME?</v>
      </c>
      <c r="AE12" s="184" t="e">
        <f ca="1">ROUND(IF(_xlfn.SINGLE(ACOMPANHAMENTO)&lt;&gt;"PLE",0,SUMIF(OFFSET(CÁLCULO!$AX$15:$BH$15,$A12,0,$B12),"&lt;="&amp;(PLE.Medicao-1),OFFSET(CÁLCULO!$AB$15:$AL$15,$A12,0,$B12))+IF(AUTOEVENTO="Manual",SUMIF(OFFSET(CÁLCULO!$M$15,$A12,0,$B12),1,OFFSET(ORÇAMENTO!$X$15,$A12,0,$B12))*(PLE!$AE$9-PLE!$Y$9),0)),2)</f>
        <v>#NAME?</v>
      </c>
      <c r="AF12" s="184" t="e">
        <f ca="1">IF(_xlfn.SINGLE(ACOMPANHAMENTO)&lt;&gt;"PLE",0,SUMPRODUCT((OFFSET(CÁLCULO!$AX$15:$BH$15,$A12,0,$B12)&lt;=PLE.Medicao)*OFFSET(CÁLCULO!$AB$15:$AL$15,$A12,0,$B12)*OFFSET(ORÇAMENTO!$AA$15,$A12,0,$B12)/(OFFSET(ORÇAMENTO!$X$15,$A12,0,$B12)+10^-12))+IF(AUTOEVENTO="Manual",SUMPRODUCT((OFFSET(CÁLCULO!$M$15,$A12,0,$B12)=1)*OFFSET(ORÇAMENTO!$AA$15,$A12,0,$B12)*PLE!$AE$9),0))</f>
        <v>#NAME?</v>
      </c>
      <c r="AG12" s="184" t="e">
        <f ca="1">IF(_xlfn.SINGLE(ACOMPANHAMENTO)&lt;&gt;"PLE",0,SUMPRODUCT((OFFSET(CÁLCULO!$AX$15:$BH$15,$A12,0,$B12)&lt;=PLE.Medicao)*OFFSET(CÁLCULO!$AB$15:$AL$15,$A12,0,$B12)*OFFSET(ORÇAMENTO!$AB$15,$A12,0,$B12)/(OFFSET(ORÇAMENTO!$X$15,$A12,0,$B12)+10^-12))+IF(AUTOEVENTO="Manual",SUMPRODUCT((OFFSET(CÁLCULO!$M$15,$A12,0,$B12)=1)*OFFSET(ORÇAMENTO!$AB$15,$A12,0,$B12)*PLE!$AE$9),0))</f>
        <v>#NAME?</v>
      </c>
      <c r="AH12" s="184" t="e">
        <f ca="1">ROUND(IF(_xlfn.SINGLE(ACOMPANHAMENTO)&lt;&gt;"PLE",0,SUMIF(OFFSET(CÁLCULO!$AX$15:$BH$15,$A12,0,$B12),"&lt;="&amp;PLE.Medicao,OFFSET(CÁLCULO!$AB$15:$AL$15,$A12,0,$B12))+IF(AUTOEVENTO="Manual",SUMIF(OFFSET(CÁLCULO!$M$15,$A12,0,$B12),1,OFFSET(ORÇAMENTO!$X$15,$A12,0,$B12))*PLE!$AE$9,0)),2)</f>
        <v>#NAME?</v>
      </c>
      <c r="AJ12" s="184" t="e">
        <f ca="1">IF(_xlfn.SINGLE(ACOMPANHAMENTO)&lt;&gt;"BM",0,SUMPRODUCT(OFFSET(BM!$M$15,$A12,0,$B12)*(OFFSET(BM!$A$15,$A12,0,$B12)="S")*OFFSET(ORÇAMENTO!AA$15,$A12,0,$B12)/(OFFSET(ORÇAMENTO!$X$15,$A12,0,$B12)+10^-12)))</f>
        <v>#NAME?</v>
      </c>
      <c r="AK12" s="184" t="e">
        <f ca="1">IF(_xlfn.SINGLE(ACOMPANHAMENTO)&lt;&gt;"BM",0,SUMPRODUCT(OFFSET(BM!$M$15,$A12,0,$B12)*(OFFSET(BM!$A$15,$A12,0,$B12)="S")*OFFSET(ORÇAMENTO!AB$15,$A12,0,$B12)/(OFFSET(ORÇAMENTO!$X$15,$A12,0,$B12)+10^-12)))</f>
        <v>#NAME?</v>
      </c>
      <c r="AL12" s="184" t="e">
        <f ca="1">IF(_xlfn.SINGLE(ACOMPANHAMENTO)&lt;&gt;"BM",0,OFFSET(BM!$M$15,$A12,0))</f>
        <v>#NAME?</v>
      </c>
      <c r="AM12" s="184" t="e">
        <f ca="1">IF(_xlfn.SINGLE(ACOMPANHAMENTO)&lt;&gt;"BM",0,SUMPRODUCT(OFFSET(BM!$O$15,$A12,0,$B12)*(OFFSET(BM!$A$15,$A12,0,$B12)="S")*OFFSET(ORÇAMENTO!AA$15,$A12,0,$B12)/(OFFSET(ORÇAMENTO!$X$15,$A12,0,$B12)+10^-12)))</f>
        <v>#NAME?</v>
      </c>
      <c r="AN12" s="184" t="e">
        <f ca="1">IF(_xlfn.SINGLE(ACOMPANHAMENTO)&lt;&gt;"BM",0,SUMPRODUCT(OFFSET(BM!$O$15,$A12,0,$B12)*(OFFSET(BM!$A$15,$A12,0,$B12)="S")*OFFSET(ORÇAMENTO!AB$15,$A12,0,$B12)/(OFFSET(ORÇAMENTO!$X$15,$A12,0,$B12)+10^-12)))</f>
        <v>#NAME?</v>
      </c>
      <c r="AO12" s="184" t="e">
        <f ca="1">IF(_xlfn.SINGLE(ACOMPANHAMENTO)&lt;&gt;"BM",0,OFFSET(BM!$O$15,$A12,0))</f>
        <v>#NAME?</v>
      </c>
    </row>
    <row r="13" spans="1:41" ht="39.950000000000003" customHeight="1" x14ac:dyDescent="0.2">
      <c r="A13" s="291" t="s">
        <v>885</v>
      </c>
      <c r="B13" s="9" t="s">
        <v>728</v>
      </c>
      <c r="C13" s="291" t="s">
        <v>825</v>
      </c>
      <c r="D13" s="107" t="s">
        <v>662</v>
      </c>
      <c r="E13" s="108" t="s">
        <v>704</v>
      </c>
      <c r="F13" s="108" t="s">
        <v>828</v>
      </c>
      <c r="G13" s="108" t="s">
        <v>671</v>
      </c>
      <c r="H13" s="108" t="s">
        <v>715</v>
      </c>
      <c r="I13" s="108" t="s">
        <v>829</v>
      </c>
      <c r="J13" s="108" t="s">
        <v>830</v>
      </c>
      <c r="K13" s="654" t="s">
        <v>886</v>
      </c>
      <c r="L13" s="108" t="s">
        <v>887</v>
      </c>
      <c r="M13" s="654" t="s">
        <v>883</v>
      </c>
      <c r="N13" s="655" t="s">
        <v>888</v>
      </c>
      <c r="O13" s="292" t="s">
        <v>884</v>
      </c>
      <c r="P13" s="108" t="s">
        <v>889</v>
      </c>
      <c r="R13" s="369" t="s">
        <v>890</v>
      </c>
      <c r="S13" s="369" t="s">
        <v>891</v>
      </c>
      <c r="T13" s="369" t="s">
        <v>892</v>
      </c>
      <c r="U13" s="369" t="s">
        <v>893</v>
      </c>
      <c r="V13" s="451"/>
      <c r="X13" s="654" t="s">
        <v>886</v>
      </c>
      <c r="Y13" s="160" t="s">
        <v>883</v>
      </c>
      <c r="Z13" s="161" t="s">
        <v>884</v>
      </c>
      <c r="AC13" s="110" t="s">
        <v>458</v>
      </c>
      <c r="AD13" s="110" t="s">
        <v>876</v>
      </c>
      <c r="AE13" s="110" t="s">
        <v>878</v>
      </c>
      <c r="AF13" s="110" t="s">
        <v>458</v>
      </c>
      <c r="AG13" s="110" t="s">
        <v>876</v>
      </c>
      <c r="AH13" s="110" t="s">
        <v>878</v>
      </c>
      <c r="AJ13" s="110" t="s">
        <v>458</v>
      </c>
      <c r="AK13" s="110" t="s">
        <v>876</v>
      </c>
      <c r="AL13" s="110" t="s">
        <v>878</v>
      </c>
      <c r="AM13" s="110" t="s">
        <v>458</v>
      </c>
      <c r="AN13" s="110" t="s">
        <v>876</v>
      </c>
      <c r="AO13" s="110" t="s">
        <v>878</v>
      </c>
    </row>
    <row r="14" spans="1:41" x14ac:dyDescent="0.2">
      <c r="A14">
        <f ca="1">MATCH(E14,ORÇAMENTO!$E$15:$E$27,0)-1</f>
        <v>1</v>
      </c>
      <c r="B14">
        <f ca="1">IF(ISERROR($A14),NA(),OFFSET(ORÇAMENTO!$D$15,$A14,0))</f>
        <v>11</v>
      </c>
      <c r="C14" t="str">
        <f ca="1">QCI!B14</f>
        <v>Automático</v>
      </c>
      <c r="D14" t="str">
        <f t="shared" ref="D14:D22" ca="1" si="0">IF(L14&gt;0,"F","")</f>
        <v/>
      </c>
      <c r="E14" s="282">
        <f>QCI!D14</f>
        <v>1</v>
      </c>
      <c r="F14" s="363" t="str">
        <f ca="1">QCI!G14</f>
        <v>COBERTURA DE QUADRA - EMEI IRACEMA CIDADE</v>
      </c>
      <c r="G14" s="364">
        <f>QCI!H14</f>
        <v>0</v>
      </c>
      <c r="H14" s="283">
        <f>QCI!I14</f>
        <v>0</v>
      </c>
      <c r="I14" s="283" t="str">
        <f ca="1">QCI!J14</f>
        <v/>
      </c>
      <c r="J14" s="365" t="str">
        <f ca="1">QCI!K14</f>
        <v>LOTE 1</v>
      </c>
      <c r="K14" s="366" t="e">
        <f ca="1">_xlfn.SINGLE(IF($C14="Automático",IF(_xlfn.SINGLE(ACOMPANHAMENTO)="BM",BM.medicao,PLE.Medicao),IF(ISBLANK($X14),"",$X14)))</f>
        <v>#NAME?</v>
      </c>
      <c r="L14" s="287">
        <f ca="1">QCI!$O14</f>
        <v>0</v>
      </c>
      <c r="M14" s="284" t="e">
        <f t="shared" ref="M14:M22" ca="1" si="1">ROUND(IF(C14="Automático",AE14+AL14,Y14),2)</f>
        <v>#NAME?</v>
      </c>
      <c r="N14" s="285" t="e">
        <f t="shared" ref="N14:N22" ca="1" si="2">O14-M14</f>
        <v>#NAME?</v>
      </c>
      <c r="O14" s="286" t="e">
        <f t="shared" ref="O14:O22" ca="1" si="3">ROUND(IF(C14="Automático",AH14+AO14,Z14),2)</f>
        <v>#NAME?</v>
      </c>
      <c r="P14" s="368" t="e">
        <f t="shared" ref="P14:P22" ca="1" si="4">O14/(L14+10^-12)</f>
        <v>#NAME?</v>
      </c>
      <c r="R14" s="367" t="e">
        <f ca="1">ROUND(IF($C14="Automático",AC14+AJ14,$Y14*IF(ISERROR(QCI!$AA14/QCI!$O14),0,QCI!$AA14/QCI!$O14)),2)</f>
        <v>#NAME?</v>
      </c>
      <c r="S14" s="367" t="e">
        <f ca="1">ROUND(IF($C14="Automático",AD14+AK14,$Y14*IF(ISERROR(QCI!$AB14/QCI!$O14),0,QCI!$AB14/QCI!$O14)),2)</f>
        <v>#NAME?</v>
      </c>
      <c r="T14" s="367" t="e">
        <f ca="1">ROUND(IF($C14="Automático",AF14+AM14,$Z14*IF(ISERROR(QCI!$AA14/QCI!$O14),0,QCI!$AA14/QCI!$O14)),2)</f>
        <v>#NAME?</v>
      </c>
      <c r="U14" s="367" t="e">
        <f ca="1">ROUND(IF($C14="Automático",AG14+AN14,$Z14*IF(ISERROR(QCI!$AB14/QCI!$O14),0,QCI!$AB14/QCI!$O14)),2)</f>
        <v>#NAME?</v>
      </c>
      <c r="V14" s="450">
        <f ca="1">IF(AND($L14&gt;0,$J14&lt;&gt;0,$J14&lt;&gt;"",COUNTIF($J$13:$J14,$J14)=1),OFFSET(V14,-1,0)+1,OFFSET(V14,-1,0))</f>
        <v>0</v>
      </c>
      <c r="X14" s="514"/>
      <c r="Y14" s="288"/>
      <c r="Z14" s="289"/>
      <c r="AC14" s="184" t="e">
        <f ca="1">IF(_xlfn.SINGLE(ACOMPANHAMENTO)&lt;&gt;"PLE",0,SUMPRODUCT((OFFSET(CÁLCULO!$AX$15:$BH$15,$A14,0,$B14)&lt;=(PLE.Medicao-1))*OFFSET(CÁLCULO!$AB$15:$AL$15,$A14,0,$B14)*OFFSET(ORÇAMENTO!$AA$15,$A14,0,$B14)/(OFFSET(ORÇAMENTO!$X$15,$A14,0,$B14)+10^-12))+IF(AUTOEVENTO="Manual",SUMPRODUCT((OFFSET(CÁLCULO!$M$15,$A14,0,$B14)=1)*OFFSET(ORÇAMENTO!$AA$15,$A14,0,$B14)*(PLE!$AE$9-PLE!$Y$9)),0))</f>
        <v>#NAME?</v>
      </c>
      <c r="AD14" s="184" t="e">
        <f ca="1">IF(_xlfn.SINGLE(ACOMPANHAMENTO)&lt;&gt;"PLE",0,SUMPRODUCT((OFFSET(CÁLCULO!$AX$15:$BH$15,$A14,0,$B14)&lt;=(PLE.Medicao-1))*OFFSET(CÁLCULO!$AB$15:$AL$15,$A14,0,$B14)*OFFSET(ORÇAMENTO!$AB$15,$A14,0,$B14)/(OFFSET(ORÇAMENTO!$X$15,$A14,0,$B14)+10^-12))+IF(AUTOEVENTO="Manual",SUMPRODUCT((OFFSET(CÁLCULO!$M$15,$A14,0,$B14)=1)*OFFSET(ORÇAMENTO!$AB$15,$A14,0,$B14)*(PLE!$AE$9-PLE!$Y$9)),0))</f>
        <v>#NAME?</v>
      </c>
      <c r="AE14" s="184" t="e">
        <f ca="1">ROUND(IF(_xlfn.SINGLE(ACOMPANHAMENTO)&lt;&gt;"PLE",0,SUMIF(OFFSET(CÁLCULO!$AX$15:$BH$15,$A14,0,$B14),"&lt;="&amp;(PLE.Medicao-1),OFFSET(CÁLCULO!$AB$15:$AL$15,$A14,0,$B14))+IF(AUTOEVENTO="Manual",SUMIF(OFFSET(CÁLCULO!$M$15,$A14,0,$B14),1,OFFSET(ORÇAMENTO!$X$15,$A14,0,$B14))*(PLE!$AE$9-PLE!$Y$9),0)),2)</f>
        <v>#NAME?</v>
      </c>
      <c r="AF14" s="184" t="e">
        <f ca="1">IF(_xlfn.SINGLE(ACOMPANHAMENTO)&lt;&gt;"PLE",0,SUMPRODUCT((OFFSET(CÁLCULO!$AX$15:$BH$15,$A14,0,$B14)&lt;=PLE.Medicao)*OFFSET(CÁLCULO!$AB$15:$AL$15,$A14,0,$B14)*OFFSET(ORÇAMENTO!$AA$15,$A14,0,$B14)/(OFFSET(ORÇAMENTO!$X$15,$A14,0,$B14)+10^-12))+IF(AUTOEVENTO="Manual",SUMPRODUCT((OFFSET(CÁLCULO!$M$15,$A14,0,$B14)=1)*OFFSET(ORÇAMENTO!$AA$15,$A14,0,$B14)*PLE!$AE$9),0))</f>
        <v>#NAME?</v>
      </c>
      <c r="AG14" s="184" t="e">
        <f ca="1">IF(_xlfn.SINGLE(ACOMPANHAMENTO)&lt;&gt;"PLE",0,SUMPRODUCT((OFFSET(CÁLCULO!$AX$15:$BH$15,$A14,0,$B14)&lt;=PLE.Medicao)*OFFSET(CÁLCULO!$AB$15:$AL$15,$A14,0,$B14)*OFFSET(ORÇAMENTO!$AB$15,$A14,0,$B14)/(OFFSET(ORÇAMENTO!$X$15,$A14,0,$B14)+10^-12))+IF(AUTOEVENTO="Manual",SUMPRODUCT((OFFSET(CÁLCULO!$M$15,$A14,0,$B14)=1)*OFFSET(ORÇAMENTO!$AB$15,$A14,0,$B14)*PLE!$AE$9),0))</f>
        <v>#NAME?</v>
      </c>
      <c r="AH14" s="184" t="e">
        <f ca="1">ROUND(IF(_xlfn.SINGLE(ACOMPANHAMENTO)&lt;&gt;"PLE",0,SUMIF(OFFSET(CÁLCULO!$AX$15:$BH$15,$A14,0,$B14),"&lt;="&amp;PLE.Medicao,OFFSET(CÁLCULO!$AB$15:$AL$15,$A14,0,$B14))+IF(AUTOEVENTO="Manual",SUMIF(OFFSET(CÁLCULO!$M$15,$A14,0,$B14),1,OFFSET(ORÇAMENTO!$X$15,$A14,0,$B14))*PLE!$AE$9,0)),2)</f>
        <v>#NAME?</v>
      </c>
      <c r="AJ14" s="184" t="e">
        <f ca="1">IF(_xlfn.SINGLE(ACOMPANHAMENTO)&lt;&gt;"BM",0,SUMPRODUCT(OFFSET(BM!$M$15,$A14,0,$B14)*(OFFSET(BM!$A$15,$A14,0,$B14)="S")*OFFSET(ORÇAMENTO!AA$15,$A14,0,$B14)/(OFFSET(ORÇAMENTO!$X$15,$A14,0,$B14)+10^-12)))</f>
        <v>#NAME?</v>
      </c>
      <c r="AK14" s="184" t="e">
        <f ca="1">IF(_xlfn.SINGLE(ACOMPANHAMENTO)&lt;&gt;"BM",0,SUMPRODUCT(OFFSET(BM!$M$15,$A14,0,$B14)*(OFFSET(BM!$A$15,$A14,0,$B14)="S")*OFFSET(ORÇAMENTO!AB$15,$A14,0,$B14)/(OFFSET(ORÇAMENTO!$X$15,$A14,0,$B14)+10^-12)))</f>
        <v>#NAME?</v>
      </c>
      <c r="AL14" s="184" t="e">
        <f ca="1">IF(_xlfn.SINGLE(ACOMPANHAMENTO)&lt;&gt;"BM",0,OFFSET(BM!$M$15,$A14,0))</f>
        <v>#NAME?</v>
      </c>
      <c r="AM14" s="184" t="e">
        <f ca="1">IF(_xlfn.SINGLE(ACOMPANHAMENTO)&lt;&gt;"BM",0,SUMPRODUCT(OFFSET(BM!$O$15,$A14,0,$B14)*(OFFSET(BM!$A$15,$A14,0,$B14)="S")*OFFSET(ORÇAMENTO!AA$15,$A14,0,$B14)/(OFFSET(ORÇAMENTO!$X$15,$A14,0,$B14)+10^-12)))</f>
        <v>#NAME?</v>
      </c>
      <c r="AN14" s="184" t="e">
        <f ca="1">IF(_xlfn.SINGLE(ACOMPANHAMENTO)&lt;&gt;"BM",0,SUMPRODUCT(OFFSET(BM!$O$15,$A14,0,$B14)*(OFFSET(BM!$A$15,$A14,0,$B14)="S")*OFFSET(ORÇAMENTO!AB$15,$A14,0,$B14)/(OFFSET(ORÇAMENTO!$X$15,$A14,0,$B14)+10^-12)))</f>
        <v>#NAME?</v>
      </c>
      <c r="AO14" s="184" t="e">
        <f ca="1">IF(_xlfn.SINGLE(ACOMPANHAMENTO)&lt;&gt;"BM",0,OFFSET(BM!$O$15,$A14,0))</f>
        <v>#NAME?</v>
      </c>
    </row>
    <row r="15" spans="1:41" x14ac:dyDescent="0.2">
      <c r="A15" t="e">
        <f ca="1">MATCH(E15,ORÇAMENTO!$E$15:$E$27,0)-1</f>
        <v>#N/A</v>
      </c>
      <c r="B15" t="e">
        <f ca="1">IF(ISERROR($A15),NA(),OFFSET(ORÇAMENTO!$D$15,$A15,0))</f>
        <v>#N/A</v>
      </c>
      <c r="C15" t="str">
        <f ca="1">QCI!B15</f>
        <v>Branco</v>
      </c>
      <c r="D15" t="str">
        <f t="shared" ca="1" si="0"/>
        <v/>
      </c>
      <c r="E15" s="282">
        <f>QCI!D15</f>
        <v>2</v>
      </c>
      <c r="F15" s="363" t="str">
        <f ca="1">QCI!G15</f>
        <v/>
      </c>
      <c r="G15" s="364">
        <f>QCI!H15</f>
        <v>0</v>
      </c>
      <c r="H15" s="283">
        <f>QCI!I15</f>
        <v>0</v>
      </c>
      <c r="I15" s="283" t="str">
        <f ca="1">QCI!J15</f>
        <v/>
      </c>
      <c r="J15" s="365" t="str">
        <f ca="1">QCI!K15</f>
        <v/>
      </c>
      <c r="K15" s="366" t="e">
        <f ca="1">_xlfn.SINGLE(IF($C15="Automático",IF(_xlfn.SINGLE(ACOMPANHAMENTO)="BM",BM.medicao,PLE.Medicao),IF(ISBLANK($X15),"",$X15)))</f>
        <v>#NAME?</v>
      </c>
      <c r="L15" s="287">
        <f ca="1">QCI!$O15</f>
        <v>0</v>
      </c>
      <c r="M15" s="284">
        <f t="shared" ca="1" si="1"/>
        <v>0</v>
      </c>
      <c r="N15" s="285">
        <f t="shared" ca="1" si="2"/>
        <v>0</v>
      </c>
      <c r="O15" s="286">
        <f t="shared" ca="1" si="3"/>
        <v>0</v>
      </c>
      <c r="P15" s="368">
        <f t="shared" ca="1" si="4"/>
        <v>0</v>
      </c>
      <c r="R15" s="367">
        <f ca="1">ROUND(IF($C15="Automático",AC15+AJ15,$Y15*IF(ISERROR(QCI!$AA15/QCI!$O15),0,QCI!$AA15/QCI!$O15)),2)</f>
        <v>0</v>
      </c>
      <c r="S15" s="367">
        <f ca="1">ROUND(IF($C15="Automático",AD15+AK15,$Y15*IF(ISERROR(QCI!$AB15/QCI!$O15),0,QCI!$AB15/QCI!$O15)),2)</f>
        <v>0</v>
      </c>
      <c r="T15" s="367">
        <f ca="1">ROUND(IF($C15="Automático",AF15+AM15,$Z15*IF(ISERROR(QCI!$AA15/QCI!$O15),0,QCI!$AA15/QCI!$O15)),2)</f>
        <v>0</v>
      </c>
      <c r="U15" s="367">
        <f ca="1">ROUND(IF($C15="Automático",AG15+AN15,$Z15*IF(ISERROR(QCI!$AB15/QCI!$O15),0,QCI!$AB15/QCI!$O15)),2)</f>
        <v>0</v>
      </c>
      <c r="V15" s="450">
        <f ca="1">IF(AND($L15&gt;0,$J15&lt;&gt;0,$J15&lt;&gt;"",COUNTIF($J$13:$J15,$J15)=1),OFFSET(V15,-1,0)+1,OFFSET(V15,-1,0))</f>
        <v>0</v>
      </c>
      <c r="X15" s="514"/>
      <c r="Y15" s="288"/>
      <c r="Z15" s="289"/>
      <c r="AC15" s="184" t="e">
        <f ca="1">IF(_xlfn.SINGLE(ACOMPANHAMENTO)&lt;&gt;"PLE",0,SUMPRODUCT((OFFSET(CÁLCULO!$AX$15:$BH$15,$A15,0,$B15)&lt;=(PLE.Medicao-1))*OFFSET(CÁLCULO!$AB$15:$AL$15,$A15,0,$B15)*OFFSET(ORÇAMENTO!$AA$15,$A15,0,$B15)/(OFFSET(ORÇAMENTO!$X$15,$A15,0,$B15)+10^-12))+IF(AUTOEVENTO="Manual",SUMPRODUCT((OFFSET(CÁLCULO!$M$15,$A15,0,$B15)=1)*OFFSET(ORÇAMENTO!$AA$15,$A15,0,$B15)*(PLE!$AE$9-PLE!$Y$9)),0))</f>
        <v>#NAME?</v>
      </c>
      <c r="AD15" s="184" t="e">
        <f ca="1">IF(_xlfn.SINGLE(ACOMPANHAMENTO)&lt;&gt;"PLE",0,SUMPRODUCT((OFFSET(CÁLCULO!$AX$15:$BH$15,$A15,0,$B15)&lt;=(PLE.Medicao-1))*OFFSET(CÁLCULO!$AB$15:$AL$15,$A15,0,$B15)*OFFSET(ORÇAMENTO!$AB$15,$A15,0,$B15)/(OFFSET(ORÇAMENTO!$X$15,$A15,0,$B15)+10^-12))+IF(AUTOEVENTO="Manual",SUMPRODUCT((OFFSET(CÁLCULO!$M$15,$A15,0,$B15)=1)*OFFSET(ORÇAMENTO!$AB$15,$A15,0,$B15)*(PLE!$AE$9-PLE!$Y$9)),0))</f>
        <v>#NAME?</v>
      </c>
      <c r="AE15" s="184" t="e">
        <f ca="1">ROUND(IF(_xlfn.SINGLE(ACOMPANHAMENTO)&lt;&gt;"PLE",0,SUMIF(OFFSET(CÁLCULO!$AX$15:$BH$15,$A15,0,$B15),"&lt;="&amp;(PLE.Medicao-1),OFFSET(CÁLCULO!$AB$15:$AL$15,$A15,0,$B15))+IF(AUTOEVENTO="Manual",SUMIF(OFFSET(CÁLCULO!$M$15,$A15,0,$B15),1,OFFSET(ORÇAMENTO!$X$15,$A15,0,$B15))*(PLE!$AE$9-PLE!$Y$9),0)),2)</f>
        <v>#NAME?</v>
      </c>
      <c r="AF15" s="184" t="e">
        <f ca="1">IF(_xlfn.SINGLE(ACOMPANHAMENTO)&lt;&gt;"PLE",0,SUMPRODUCT((OFFSET(CÁLCULO!$AX$15:$BH$15,$A15,0,$B15)&lt;=PLE.Medicao)*OFFSET(CÁLCULO!$AB$15:$AL$15,$A15,0,$B15)*OFFSET(ORÇAMENTO!$AA$15,$A15,0,$B15)/(OFFSET(ORÇAMENTO!$X$15,$A15,0,$B15)+10^-12))+IF(AUTOEVENTO="Manual",SUMPRODUCT((OFFSET(CÁLCULO!$M$15,$A15,0,$B15)=1)*OFFSET(ORÇAMENTO!$AA$15,$A15,0,$B15)*PLE!$AE$9),0))</f>
        <v>#NAME?</v>
      </c>
      <c r="AG15" s="184" t="e">
        <f ca="1">IF(_xlfn.SINGLE(ACOMPANHAMENTO)&lt;&gt;"PLE",0,SUMPRODUCT((OFFSET(CÁLCULO!$AX$15:$BH$15,$A15,0,$B15)&lt;=PLE.Medicao)*OFFSET(CÁLCULO!$AB$15:$AL$15,$A15,0,$B15)*OFFSET(ORÇAMENTO!$AB$15,$A15,0,$B15)/(OFFSET(ORÇAMENTO!$X$15,$A15,0,$B15)+10^-12))+IF(AUTOEVENTO="Manual",SUMPRODUCT((OFFSET(CÁLCULO!$M$15,$A15,0,$B15)=1)*OFFSET(ORÇAMENTO!$AB$15,$A15,0,$B15)*PLE!$AE$9),0))</f>
        <v>#NAME?</v>
      </c>
      <c r="AH15" s="184" t="e">
        <f ca="1">ROUND(IF(_xlfn.SINGLE(ACOMPANHAMENTO)&lt;&gt;"PLE",0,SUMIF(OFFSET(CÁLCULO!$AX$15:$BH$15,$A15,0,$B15),"&lt;="&amp;PLE.Medicao,OFFSET(CÁLCULO!$AB$15:$AL$15,$A15,0,$B15))+IF(AUTOEVENTO="Manual",SUMIF(OFFSET(CÁLCULO!$M$15,$A15,0,$B15),1,OFFSET(ORÇAMENTO!$X$15,$A15,0,$B15))*PLE!$AE$9,0)),2)</f>
        <v>#NAME?</v>
      </c>
      <c r="AJ15" s="184" t="e">
        <f ca="1">IF(_xlfn.SINGLE(ACOMPANHAMENTO)&lt;&gt;"BM",0,SUMPRODUCT(OFFSET(BM!$M$15,$A15,0,$B15)*(OFFSET(BM!$A$15,$A15,0,$B15)="S")*OFFSET(ORÇAMENTO!AA$15,$A15,0,$B15)/(OFFSET(ORÇAMENTO!$X$15,$A15,0,$B15)+10^-12)))</f>
        <v>#NAME?</v>
      </c>
      <c r="AK15" s="184" t="e">
        <f ca="1">IF(_xlfn.SINGLE(ACOMPANHAMENTO)&lt;&gt;"BM",0,SUMPRODUCT(OFFSET(BM!$M$15,$A15,0,$B15)*(OFFSET(BM!$A$15,$A15,0,$B15)="S")*OFFSET(ORÇAMENTO!AB$15,$A15,0,$B15)/(OFFSET(ORÇAMENTO!$X$15,$A15,0,$B15)+10^-12)))</f>
        <v>#NAME?</v>
      </c>
      <c r="AL15" s="184" t="e">
        <f ca="1">IF(_xlfn.SINGLE(ACOMPANHAMENTO)&lt;&gt;"BM",0,OFFSET(BM!$M$15,$A15,0))</f>
        <v>#NAME?</v>
      </c>
      <c r="AM15" s="184" t="e">
        <f ca="1">IF(_xlfn.SINGLE(ACOMPANHAMENTO)&lt;&gt;"BM",0,SUMPRODUCT(OFFSET(BM!$O$15,$A15,0,$B15)*(OFFSET(BM!$A$15,$A15,0,$B15)="S")*OFFSET(ORÇAMENTO!AA$15,$A15,0,$B15)/(OFFSET(ORÇAMENTO!$X$15,$A15,0,$B15)+10^-12)))</f>
        <v>#NAME?</v>
      </c>
      <c r="AN15" s="184" t="e">
        <f ca="1">IF(_xlfn.SINGLE(ACOMPANHAMENTO)&lt;&gt;"BM",0,SUMPRODUCT(OFFSET(BM!$O$15,$A15,0,$B15)*(OFFSET(BM!$A$15,$A15,0,$B15)="S")*OFFSET(ORÇAMENTO!AB$15,$A15,0,$B15)/(OFFSET(ORÇAMENTO!$X$15,$A15,0,$B15)+10^-12)))</f>
        <v>#NAME?</v>
      </c>
      <c r="AO15" s="184" t="e">
        <f ca="1">IF(_xlfn.SINGLE(ACOMPANHAMENTO)&lt;&gt;"BM",0,OFFSET(BM!$O$15,$A15,0))</f>
        <v>#NAME?</v>
      </c>
    </row>
    <row r="16" spans="1:41" x14ac:dyDescent="0.2">
      <c r="A16" t="e">
        <f ca="1">MATCH(E16,ORÇAMENTO!$E$15:$E$27,0)-1</f>
        <v>#N/A</v>
      </c>
      <c r="B16" t="e">
        <f ca="1">IF(ISERROR($A16),NA(),OFFSET(ORÇAMENTO!$D$15,$A16,0))</f>
        <v>#N/A</v>
      </c>
      <c r="C16" t="str">
        <f ca="1">QCI!B16</f>
        <v>Branco</v>
      </c>
      <c r="D16" t="str">
        <f t="shared" ca="1" si="0"/>
        <v/>
      </c>
      <c r="E16" s="282">
        <f>QCI!D16</f>
        <v>3</v>
      </c>
      <c r="F16" s="363" t="str">
        <f ca="1">QCI!G16</f>
        <v/>
      </c>
      <c r="G16" s="364">
        <f>QCI!H16</f>
        <v>0</v>
      </c>
      <c r="H16" s="283">
        <f>QCI!I16</f>
        <v>0</v>
      </c>
      <c r="I16" s="283" t="str">
        <f ca="1">QCI!J16</f>
        <v/>
      </c>
      <c r="J16" s="365" t="str">
        <f ca="1">QCI!K16</f>
        <v/>
      </c>
      <c r="K16" s="366" t="e">
        <f ca="1">_xlfn.SINGLE(IF($C16="Automático",IF(_xlfn.SINGLE(ACOMPANHAMENTO)="BM",BM.medicao,PLE.Medicao),IF(ISBLANK($X16),"",$X16)))</f>
        <v>#NAME?</v>
      </c>
      <c r="L16" s="287">
        <f ca="1">QCI!$O16</f>
        <v>0</v>
      </c>
      <c r="M16" s="284">
        <f t="shared" ca="1" si="1"/>
        <v>0</v>
      </c>
      <c r="N16" s="285">
        <f t="shared" ca="1" si="2"/>
        <v>0</v>
      </c>
      <c r="O16" s="286">
        <f t="shared" ca="1" si="3"/>
        <v>0</v>
      </c>
      <c r="P16" s="368">
        <f t="shared" ca="1" si="4"/>
        <v>0</v>
      </c>
      <c r="R16" s="367">
        <f ca="1">ROUND(IF($C16="Automático",AC16+AJ16,$Y16*IF(ISERROR(QCI!$AA16/QCI!$O16),0,QCI!$AA16/QCI!$O16)),2)</f>
        <v>0</v>
      </c>
      <c r="S16" s="367">
        <f ca="1">ROUND(IF($C16="Automático",AD16+AK16,$Y16*IF(ISERROR(QCI!$AB16/QCI!$O16),0,QCI!$AB16/QCI!$O16)),2)</f>
        <v>0</v>
      </c>
      <c r="T16" s="367">
        <f ca="1">ROUND(IF($C16="Automático",AF16+AM16,$Z16*IF(ISERROR(QCI!$AA16/QCI!$O16),0,QCI!$AA16/QCI!$O16)),2)</f>
        <v>0</v>
      </c>
      <c r="U16" s="367">
        <f ca="1">ROUND(IF($C16="Automático",AG16+AN16,$Z16*IF(ISERROR(QCI!$AB16/QCI!$O16),0,QCI!$AB16/QCI!$O16)),2)</f>
        <v>0</v>
      </c>
      <c r="V16" s="450">
        <f ca="1">IF(AND($L16&gt;0,$J16&lt;&gt;0,$J16&lt;&gt;"",COUNTIF($J$13:$J16,$J16)=1),OFFSET(V16,-1,0)+1,OFFSET(V16,-1,0))</f>
        <v>0</v>
      </c>
      <c r="X16" s="514"/>
      <c r="Y16" s="288"/>
      <c r="Z16" s="289"/>
      <c r="AC16" s="184" t="e">
        <f ca="1">IF(_xlfn.SINGLE(ACOMPANHAMENTO)&lt;&gt;"PLE",0,SUMPRODUCT((OFFSET(CÁLCULO!$AX$15:$BH$15,$A16,0,$B16)&lt;=(PLE.Medicao-1))*OFFSET(CÁLCULO!$AB$15:$AL$15,$A16,0,$B16)*OFFSET(ORÇAMENTO!$AA$15,$A16,0,$B16)/(OFFSET(ORÇAMENTO!$X$15,$A16,0,$B16)+10^-12))+IF(AUTOEVENTO="Manual",SUMPRODUCT((OFFSET(CÁLCULO!$M$15,$A16,0,$B16)=1)*OFFSET(ORÇAMENTO!$AA$15,$A16,0,$B16)*(PLE!$AE$9-PLE!$Y$9)),0))</f>
        <v>#NAME?</v>
      </c>
      <c r="AD16" s="184" t="e">
        <f ca="1">IF(_xlfn.SINGLE(ACOMPANHAMENTO)&lt;&gt;"PLE",0,SUMPRODUCT((OFFSET(CÁLCULO!$AX$15:$BH$15,$A16,0,$B16)&lt;=(PLE.Medicao-1))*OFFSET(CÁLCULO!$AB$15:$AL$15,$A16,0,$B16)*OFFSET(ORÇAMENTO!$AB$15,$A16,0,$B16)/(OFFSET(ORÇAMENTO!$X$15,$A16,0,$B16)+10^-12))+IF(AUTOEVENTO="Manual",SUMPRODUCT((OFFSET(CÁLCULO!$M$15,$A16,0,$B16)=1)*OFFSET(ORÇAMENTO!$AB$15,$A16,0,$B16)*(PLE!$AE$9-PLE!$Y$9)),0))</f>
        <v>#NAME?</v>
      </c>
      <c r="AE16" s="184" t="e">
        <f ca="1">ROUND(IF(_xlfn.SINGLE(ACOMPANHAMENTO)&lt;&gt;"PLE",0,SUMIF(OFFSET(CÁLCULO!$AX$15:$BH$15,$A16,0,$B16),"&lt;="&amp;(PLE.Medicao-1),OFFSET(CÁLCULO!$AB$15:$AL$15,$A16,0,$B16))+IF(AUTOEVENTO="Manual",SUMIF(OFFSET(CÁLCULO!$M$15,$A16,0,$B16),1,OFFSET(ORÇAMENTO!$X$15,$A16,0,$B16))*(PLE!$AE$9-PLE!$Y$9),0)),2)</f>
        <v>#NAME?</v>
      </c>
      <c r="AF16" s="184" t="e">
        <f ca="1">IF(_xlfn.SINGLE(ACOMPANHAMENTO)&lt;&gt;"PLE",0,SUMPRODUCT((OFFSET(CÁLCULO!$AX$15:$BH$15,$A16,0,$B16)&lt;=PLE.Medicao)*OFFSET(CÁLCULO!$AB$15:$AL$15,$A16,0,$B16)*OFFSET(ORÇAMENTO!$AA$15,$A16,0,$B16)/(OFFSET(ORÇAMENTO!$X$15,$A16,0,$B16)+10^-12))+IF(AUTOEVENTO="Manual",SUMPRODUCT((OFFSET(CÁLCULO!$M$15,$A16,0,$B16)=1)*OFFSET(ORÇAMENTO!$AA$15,$A16,0,$B16)*PLE!$AE$9),0))</f>
        <v>#NAME?</v>
      </c>
      <c r="AG16" s="184" t="e">
        <f ca="1">IF(_xlfn.SINGLE(ACOMPANHAMENTO)&lt;&gt;"PLE",0,SUMPRODUCT((OFFSET(CÁLCULO!$AX$15:$BH$15,$A16,0,$B16)&lt;=PLE.Medicao)*OFFSET(CÁLCULO!$AB$15:$AL$15,$A16,0,$B16)*OFFSET(ORÇAMENTO!$AB$15,$A16,0,$B16)/(OFFSET(ORÇAMENTO!$X$15,$A16,0,$B16)+10^-12))+IF(AUTOEVENTO="Manual",SUMPRODUCT((OFFSET(CÁLCULO!$M$15,$A16,0,$B16)=1)*OFFSET(ORÇAMENTO!$AB$15,$A16,0,$B16)*PLE!$AE$9),0))</f>
        <v>#NAME?</v>
      </c>
      <c r="AH16" s="184" t="e">
        <f ca="1">ROUND(IF(_xlfn.SINGLE(ACOMPANHAMENTO)&lt;&gt;"PLE",0,SUMIF(OFFSET(CÁLCULO!$AX$15:$BH$15,$A16,0,$B16),"&lt;="&amp;PLE.Medicao,OFFSET(CÁLCULO!$AB$15:$AL$15,$A16,0,$B16))+IF(AUTOEVENTO="Manual",SUMIF(OFFSET(CÁLCULO!$M$15,$A16,0,$B16),1,OFFSET(ORÇAMENTO!$X$15,$A16,0,$B16))*PLE!$AE$9,0)),2)</f>
        <v>#NAME?</v>
      </c>
      <c r="AJ16" s="184" t="e">
        <f ca="1">IF(_xlfn.SINGLE(ACOMPANHAMENTO)&lt;&gt;"BM",0,SUMPRODUCT(OFFSET(BM!$M$15,$A16,0,$B16)*(OFFSET(BM!$A$15,$A16,0,$B16)="S")*OFFSET(ORÇAMENTO!AA$15,$A16,0,$B16)/(OFFSET(ORÇAMENTO!$X$15,$A16,0,$B16)+10^-12)))</f>
        <v>#NAME?</v>
      </c>
      <c r="AK16" s="184" t="e">
        <f ca="1">IF(_xlfn.SINGLE(ACOMPANHAMENTO)&lt;&gt;"BM",0,SUMPRODUCT(OFFSET(BM!$M$15,$A16,0,$B16)*(OFFSET(BM!$A$15,$A16,0,$B16)="S")*OFFSET(ORÇAMENTO!AB$15,$A16,0,$B16)/(OFFSET(ORÇAMENTO!$X$15,$A16,0,$B16)+10^-12)))</f>
        <v>#NAME?</v>
      </c>
      <c r="AL16" s="184" t="e">
        <f ca="1">IF(_xlfn.SINGLE(ACOMPANHAMENTO)&lt;&gt;"BM",0,OFFSET(BM!$M$15,$A16,0))</f>
        <v>#NAME?</v>
      </c>
      <c r="AM16" s="184" t="e">
        <f ca="1">IF(_xlfn.SINGLE(ACOMPANHAMENTO)&lt;&gt;"BM",0,SUMPRODUCT(OFFSET(BM!$O$15,$A16,0,$B16)*(OFFSET(BM!$A$15,$A16,0,$B16)="S")*OFFSET(ORÇAMENTO!AA$15,$A16,0,$B16)/(OFFSET(ORÇAMENTO!$X$15,$A16,0,$B16)+10^-12)))</f>
        <v>#NAME?</v>
      </c>
      <c r="AN16" s="184" t="e">
        <f ca="1">IF(_xlfn.SINGLE(ACOMPANHAMENTO)&lt;&gt;"BM",0,SUMPRODUCT(OFFSET(BM!$O$15,$A16,0,$B16)*(OFFSET(BM!$A$15,$A16,0,$B16)="S")*OFFSET(ORÇAMENTO!AB$15,$A16,0,$B16)/(OFFSET(ORÇAMENTO!$X$15,$A16,0,$B16)+10^-12)))</f>
        <v>#NAME?</v>
      </c>
      <c r="AO16" s="184" t="e">
        <f ca="1">IF(_xlfn.SINGLE(ACOMPANHAMENTO)&lt;&gt;"BM",0,OFFSET(BM!$O$15,$A16,0))</f>
        <v>#NAME?</v>
      </c>
    </row>
    <row r="17" spans="1:41" x14ac:dyDescent="0.2">
      <c r="A17" t="e">
        <f ca="1">MATCH(E17,ORÇAMENTO!$E$15:$E$27,0)-1</f>
        <v>#N/A</v>
      </c>
      <c r="B17" t="e">
        <f ca="1">IF(ISERROR($A17),NA(),OFFSET(ORÇAMENTO!$D$15,$A17,0))</f>
        <v>#N/A</v>
      </c>
      <c r="C17" t="str">
        <f ca="1">QCI!B17</f>
        <v>Branco</v>
      </c>
      <c r="D17" t="str">
        <f t="shared" ca="1" si="0"/>
        <v/>
      </c>
      <c r="E17" s="282">
        <f>QCI!D17</f>
        <v>4</v>
      </c>
      <c r="F17" s="363" t="str">
        <f ca="1">QCI!G17</f>
        <v/>
      </c>
      <c r="G17" s="364">
        <f>QCI!H17</f>
        <v>0</v>
      </c>
      <c r="H17" s="283">
        <f>QCI!I17</f>
        <v>0</v>
      </c>
      <c r="I17" s="283" t="str">
        <f ca="1">QCI!J17</f>
        <v/>
      </c>
      <c r="J17" s="365" t="str">
        <f ca="1">QCI!K17</f>
        <v/>
      </c>
      <c r="K17" s="366" t="e">
        <f ca="1">_xlfn.SINGLE(IF($C17="Automático",IF(_xlfn.SINGLE(ACOMPANHAMENTO)="BM",BM.medicao,PLE.Medicao),IF(ISBLANK($X17),"",$X17)))</f>
        <v>#NAME?</v>
      </c>
      <c r="L17" s="287">
        <f ca="1">QCI!$O17</f>
        <v>0</v>
      </c>
      <c r="M17" s="284">
        <f t="shared" ca="1" si="1"/>
        <v>0</v>
      </c>
      <c r="N17" s="285">
        <f t="shared" ca="1" si="2"/>
        <v>0</v>
      </c>
      <c r="O17" s="286">
        <f t="shared" ca="1" si="3"/>
        <v>0</v>
      </c>
      <c r="P17" s="368">
        <f t="shared" ca="1" si="4"/>
        <v>0</v>
      </c>
      <c r="R17" s="367">
        <f ca="1">ROUND(IF($C17="Automático",AC17+AJ17,$Y17*IF(ISERROR(QCI!$AA17/QCI!$O17),0,QCI!$AA17/QCI!$O17)),2)</f>
        <v>0</v>
      </c>
      <c r="S17" s="367">
        <f ca="1">ROUND(IF($C17="Automático",AD17+AK17,$Y17*IF(ISERROR(QCI!$AB17/QCI!$O17),0,QCI!$AB17/QCI!$O17)),2)</f>
        <v>0</v>
      </c>
      <c r="T17" s="367">
        <f ca="1">ROUND(IF($C17="Automático",AF17+AM17,$Z17*IF(ISERROR(QCI!$AA17/QCI!$O17),0,QCI!$AA17/QCI!$O17)),2)</f>
        <v>0</v>
      </c>
      <c r="U17" s="367">
        <f ca="1">ROUND(IF($C17="Automático",AG17+AN17,$Z17*IF(ISERROR(QCI!$AB17/QCI!$O17),0,QCI!$AB17/QCI!$O17)),2)</f>
        <v>0</v>
      </c>
      <c r="V17" s="450">
        <f ca="1">IF(AND($L17&gt;0,$J17&lt;&gt;0,$J17&lt;&gt;"",COUNTIF($J$13:$J17,$J17)=1),OFFSET(V17,-1,0)+1,OFFSET(V17,-1,0))</f>
        <v>0</v>
      </c>
      <c r="X17" s="514"/>
      <c r="Y17" s="288"/>
      <c r="Z17" s="289"/>
      <c r="AC17" s="184" t="e">
        <f ca="1">IF(_xlfn.SINGLE(ACOMPANHAMENTO)&lt;&gt;"PLE",0,SUMPRODUCT((OFFSET(CÁLCULO!$AX$15:$BH$15,$A17,0,$B17)&lt;=(PLE.Medicao-1))*OFFSET(CÁLCULO!$AB$15:$AL$15,$A17,0,$B17)*OFFSET(ORÇAMENTO!$AA$15,$A17,0,$B17)/(OFFSET(ORÇAMENTO!$X$15,$A17,0,$B17)+10^-12))+IF(AUTOEVENTO="Manual",SUMPRODUCT((OFFSET(CÁLCULO!$M$15,$A17,0,$B17)=1)*OFFSET(ORÇAMENTO!$AA$15,$A17,0,$B17)*(PLE!$AE$9-PLE!$Y$9)),0))</f>
        <v>#NAME?</v>
      </c>
      <c r="AD17" s="184" t="e">
        <f ca="1">IF(_xlfn.SINGLE(ACOMPANHAMENTO)&lt;&gt;"PLE",0,SUMPRODUCT((OFFSET(CÁLCULO!$AX$15:$BH$15,$A17,0,$B17)&lt;=(PLE.Medicao-1))*OFFSET(CÁLCULO!$AB$15:$AL$15,$A17,0,$B17)*OFFSET(ORÇAMENTO!$AB$15,$A17,0,$B17)/(OFFSET(ORÇAMENTO!$X$15,$A17,0,$B17)+10^-12))+IF(AUTOEVENTO="Manual",SUMPRODUCT((OFFSET(CÁLCULO!$M$15,$A17,0,$B17)=1)*OFFSET(ORÇAMENTO!$AB$15,$A17,0,$B17)*(PLE!$AE$9-PLE!$Y$9)),0))</f>
        <v>#NAME?</v>
      </c>
      <c r="AE17" s="184" t="e">
        <f ca="1">ROUND(IF(_xlfn.SINGLE(ACOMPANHAMENTO)&lt;&gt;"PLE",0,SUMIF(OFFSET(CÁLCULO!$AX$15:$BH$15,$A17,0,$B17),"&lt;="&amp;(PLE.Medicao-1),OFFSET(CÁLCULO!$AB$15:$AL$15,$A17,0,$B17))+IF(AUTOEVENTO="Manual",SUMIF(OFFSET(CÁLCULO!$M$15,$A17,0,$B17),1,OFFSET(ORÇAMENTO!$X$15,$A17,0,$B17))*(PLE!$AE$9-PLE!$Y$9),0)),2)</f>
        <v>#NAME?</v>
      </c>
      <c r="AF17" s="184" t="e">
        <f ca="1">IF(_xlfn.SINGLE(ACOMPANHAMENTO)&lt;&gt;"PLE",0,SUMPRODUCT((OFFSET(CÁLCULO!$AX$15:$BH$15,$A17,0,$B17)&lt;=PLE.Medicao)*OFFSET(CÁLCULO!$AB$15:$AL$15,$A17,0,$B17)*OFFSET(ORÇAMENTO!$AA$15,$A17,0,$B17)/(OFFSET(ORÇAMENTO!$X$15,$A17,0,$B17)+10^-12))+IF(AUTOEVENTO="Manual",SUMPRODUCT((OFFSET(CÁLCULO!$M$15,$A17,0,$B17)=1)*OFFSET(ORÇAMENTO!$AA$15,$A17,0,$B17)*PLE!$AE$9),0))</f>
        <v>#NAME?</v>
      </c>
      <c r="AG17" s="184" t="e">
        <f ca="1">IF(_xlfn.SINGLE(ACOMPANHAMENTO)&lt;&gt;"PLE",0,SUMPRODUCT((OFFSET(CÁLCULO!$AX$15:$BH$15,$A17,0,$B17)&lt;=PLE.Medicao)*OFFSET(CÁLCULO!$AB$15:$AL$15,$A17,0,$B17)*OFFSET(ORÇAMENTO!$AB$15,$A17,0,$B17)/(OFFSET(ORÇAMENTO!$X$15,$A17,0,$B17)+10^-12))+IF(AUTOEVENTO="Manual",SUMPRODUCT((OFFSET(CÁLCULO!$M$15,$A17,0,$B17)=1)*OFFSET(ORÇAMENTO!$AB$15,$A17,0,$B17)*PLE!$AE$9),0))</f>
        <v>#NAME?</v>
      </c>
      <c r="AH17" s="184" t="e">
        <f ca="1">ROUND(IF(_xlfn.SINGLE(ACOMPANHAMENTO)&lt;&gt;"PLE",0,SUMIF(OFFSET(CÁLCULO!$AX$15:$BH$15,$A17,0,$B17),"&lt;="&amp;PLE.Medicao,OFFSET(CÁLCULO!$AB$15:$AL$15,$A17,0,$B17))+IF(AUTOEVENTO="Manual",SUMIF(OFFSET(CÁLCULO!$M$15,$A17,0,$B17),1,OFFSET(ORÇAMENTO!$X$15,$A17,0,$B17))*PLE!$AE$9,0)),2)</f>
        <v>#NAME?</v>
      </c>
      <c r="AJ17" s="184" t="e">
        <f ca="1">IF(_xlfn.SINGLE(ACOMPANHAMENTO)&lt;&gt;"BM",0,SUMPRODUCT(OFFSET(BM!$M$15,$A17,0,$B17)*(OFFSET(BM!$A$15,$A17,0,$B17)="S")*OFFSET(ORÇAMENTO!AA$15,$A17,0,$B17)/(OFFSET(ORÇAMENTO!$X$15,$A17,0,$B17)+10^-12)))</f>
        <v>#NAME?</v>
      </c>
      <c r="AK17" s="184" t="e">
        <f ca="1">IF(_xlfn.SINGLE(ACOMPANHAMENTO)&lt;&gt;"BM",0,SUMPRODUCT(OFFSET(BM!$M$15,$A17,0,$B17)*(OFFSET(BM!$A$15,$A17,0,$B17)="S")*OFFSET(ORÇAMENTO!AB$15,$A17,0,$B17)/(OFFSET(ORÇAMENTO!$X$15,$A17,0,$B17)+10^-12)))</f>
        <v>#NAME?</v>
      </c>
      <c r="AL17" s="184" t="e">
        <f ca="1">IF(_xlfn.SINGLE(ACOMPANHAMENTO)&lt;&gt;"BM",0,OFFSET(BM!$M$15,$A17,0))</f>
        <v>#NAME?</v>
      </c>
      <c r="AM17" s="184" t="e">
        <f ca="1">IF(_xlfn.SINGLE(ACOMPANHAMENTO)&lt;&gt;"BM",0,SUMPRODUCT(OFFSET(BM!$O$15,$A17,0,$B17)*(OFFSET(BM!$A$15,$A17,0,$B17)="S")*OFFSET(ORÇAMENTO!AA$15,$A17,0,$B17)/(OFFSET(ORÇAMENTO!$X$15,$A17,0,$B17)+10^-12)))</f>
        <v>#NAME?</v>
      </c>
      <c r="AN17" s="184" t="e">
        <f ca="1">IF(_xlfn.SINGLE(ACOMPANHAMENTO)&lt;&gt;"BM",0,SUMPRODUCT(OFFSET(BM!$O$15,$A17,0,$B17)*(OFFSET(BM!$A$15,$A17,0,$B17)="S")*OFFSET(ORÇAMENTO!AB$15,$A17,0,$B17)/(OFFSET(ORÇAMENTO!$X$15,$A17,0,$B17)+10^-12)))</f>
        <v>#NAME?</v>
      </c>
      <c r="AO17" s="184" t="e">
        <f ca="1">IF(_xlfn.SINGLE(ACOMPANHAMENTO)&lt;&gt;"BM",0,OFFSET(BM!$O$15,$A17,0))</f>
        <v>#NAME?</v>
      </c>
    </row>
    <row r="18" spans="1:41" x14ac:dyDescent="0.2">
      <c r="A18" t="e">
        <f ca="1">MATCH(E18,ORÇAMENTO!$E$15:$E$27,0)-1</f>
        <v>#N/A</v>
      </c>
      <c r="B18" t="e">
        <f ca="1">IF(ISERROR($A18),NA(),OFFSET(ORÇAMENTO!$D$15,$A18,0))</f>
        <v>#N/A</v>
      </c>
      <c r="C18" t="str">
        <f ca="1">QCI!B18</f>
        <v>Branco</v>
      </c>
      <c r="D18" t="str">
        <f t="shared" ca="1" si="0"/>
        <v/>
      </c>
      <c r="E18" s="282">
        <f>QCI!D18</f>
        <v>5</v>
      </c>
      <c r="F18" s="363" t="str">
        <f ca="1">QCI!G18</f>
        <v/>
      </c>
      <c r="G18" s="364">
        <f>QCI!H18</f>
        <v>0</v>
      </c>
      <c r="H18" s="283">
        <f>QCI!I18</f>
        <v>0</v>
      </c>
      <c r="I18" s="283" t="str">
        <f ca="1">QCI!J18</f>
        <v/>
      </c>
      <c r="J18" s="365" t="str">
        <f ca="1">QCI!K18</f>
        <v/>
      </c>
      <c r="K18" s="366" t="e">
        <f ca="1">_xlfn.SINGLE(IF($C18="Automático",IF(_xlfn.SINGLE(ACOMPANHAMENTO)="BM",BM.medicao,PLE.Medicao),IF(ISBLANK($X18),"",$X18)))</f>
        <v>#NAME?</v>
      </c>
      <c r="L18" s="287">
        <f ca="1">QCI!$O18</f>
        <v>0</v>
      </c>
      <c r="M18" s="284">
        <f t="shared" ca="1" si="1"/>
        <v>0</v>
      </c>
      <c r="N18" s="285">
        <f t="shared" ca="1" si="2"/>
        <v>0</v>
      </c>
      <c r="O18" s="286">
        <f t="shared" ca="1" si="3"/>
        <v>0</v>
      </c>
      <c r="P18" s="368">
        <f t="shared" ca="1" si="4"/>
        <v>0</v>
      </c>
      <c r="R18" s="367">
        <f ca="1">ROUND(IF($C18="Automático",AC18+AJ18,$Y18*IF(ISERROR(QCI!$AA18/QCI!$O18),0,QCI!$AA18/QCI!$O18)),2)</f>
        <v>0</v>
      </c>
      <c r="S18" s="367">
        <f ca="1">ROUND(IF($C18="Automático",AD18+AK18,$Y18*IF(ISERROR(QCI!$AB18/QCI!$O18),0,QCI!$AB18/QCI!$O18)),2)</f>
        <v>0</v>
      </c>
      <c r="T18" s="367">
        <f ca="1">ROUND(IF($C18="Automático",AF18+AM18,$Z18*IF(ISERROR(QCI!$AA18/QCI!$O18),0,QCI!$AA18/QCI!$O18)),2)</f>
        <v>0</v>
      </c>
      <c r="U18" s="367">
        <f ca="1">ROUND(IF($C18="Automático",AG18+AN18,$Z18*IF(ISERROR(QCI!$AB18/QCI!$O18),0,QCI!$AB18/QCI!$O18)),2)</f>
        <v>0</v>
      </c>
      <c r="V18" s="450">
        <f ca="1">IF(AND($L18&gt;0,$J18&lt;&gt;0,$J18&lt;&gt;"",COUNTIF($J$13:$J18,$J18)=1),OFFSET(V18,-1,0)+1,OFFSET(V18,-1,0))</f>
        <v>0</v>
      </c>
      <c r="X18" s="514"/>
      <c r="Y18" s="288"/>
      <c r="Z18" s="289"/>
      <c r="AC18" s="184" t="e">
        <f ca="1">IF(_xlfn.SINGLE(ACOMPANHAMENTO)&lt;&gt;"PLE",0,SUMPRODUCT((OFFSET(CÁLCULO!$AX$15:$BH$15,$A18,0,$B18)&lt;=(PLE.Medicao-1))*OFFSET(CÁLCULO!$AB$15:$AL$15,$A18,0,$B18)*OFFSET(ORÇAMENTO!$AA$15,$A18,0,$B18)/(OFFSET(ORÇAMENTO!$X$15,$A18,0,$B18)+10^-12))+IF(AUTOEVENTO="Manual",SUMPRODUCT((OFFSET(CÁLCULO!$M$15,$A18,0,$B18)=1)*OFFSET(ORÇAMENTO!$AA$15,$A18,0,$B18)*(PLE!$AE$9-PLE!$Y$9)),0))</f>
        <v>#NAME?</v>
      </c>
      <c r="AD18" s="184" t="e">
        <f ca="1">IF(_xlfn.SINGLE(ACOMPANHAMENTO)&lt;&gt;"PLE",0,SUMPRODUCT((OFFSET(CÁLCULO!$AX$15:$BH$15,$A18,0,$B18)&lt;=(PLE.Medicao-1))*OFFSET(CÁLCULO!$AB$15:$AL$15,$A18,0,$B18)*OFFSET(ORÇAMENTO!$AB$15,$A18,0,$B18)/(OFFSET(ORÇAMENTO!$X$15,$A18,0,$B18)+10^-12))+IF(AUTOEVENTO="Manual",SUMPRODUCT((OFFSET(CÁLCULO!$M$15,$A18,0,$B18)=1)*OFFSET(ORÇAMENTO!$AB$15,$A18,0,$B18)*(PLE!$AE$9-PLE!$Y$9)),0))</f>
        <v>#NAME?</v>
      </c>
      <c r="AE18" s="184" t="e">
        <f ca="1">ROUND(IF(_xlfn.SINGLE(ACOMPANHAMENTO)&lt;&gt;"PLE",0,SUMIF(OFFSET(CÁLCULO!$AX$15:$BH$15,$A18,0,$B18),"&lt;="&amp;(PLE.Medicao-1),OFFSET(CÁLCULO!$AB$15:$AL$15,$A18,0,$B18))+IF(AUTOEVENTO="Manual",SUMIF(OFFSET(CÁLCULO!$M$15,$A18,0,$B18),1,OFFSET(ORÇAMENTO!$X$15,$A18,0,$B18))*(PLE!$AE$9-PLE!$Y$9),0)),2)</f>
        <v>#NAME?</v>
      </c>
      <c r="AF18" s="184" t="e">
        <f ca="1">IF(_xlfn.SINGLE(ACOMPANHAMENTO)&lt;&gt;"PLE",0,SUMPRODUCT((OFFSET(CÁLCULO!$AX$15:$BH$15,$A18,0,$B18)&lt;=PLE.Medicao)*OFFSET(CÁLCULO!$AB$15:$AL$15,$A18,0,$B18)*OFFSET(ORÇAMENTO!$AA$15,$A18,0,$B18)/(OFFSET(ORÇAMENTO!$X$15,$A18,0,$B18)+10^-12))+IF(AUTOEVENTO="Manual",SUMPRODUCT((OFFSET(CÁLCULO!$M$15,$A18,0,$B18)=1)*OFFSET(ORÇAMENTO!$AA$15,$A18,0,$B18)*PLE!$AE$9),0))</f>
        <v>#NAME?</v>
      </c>
      <c r="AG18" s="184" t="e">
        <f ca="1">IF(_xlfn.SINGLE(ACOMPANHAMENTO)&lt;&gt;"PLE",0,SUMPRODUCT((OFFSET(CÁLCULO!$AX$15:$BH$15,$A18,0,$B18)&lt;=PLE.Medicao)*OFFSET(CÁLCULO!$AB$15:$AL$15,$A18,0,$B18)*OFFSET(ORÇAMENTO!$AB$15,$A18,0,$B18)/(OFFSET(ORÇAMENTO!$X$15,$A18,0,$B18)+10^-12))+IF(AUTOEVENTO="Manual",SUMPRODUCT((OFFSET(CÁLCULO!$M$15,$A18,0,$B18)=1)*OFFSET(ORÇAMENTO!$AB$15,$A18,0,$B18)*PLE!$AE$9),0))</f>
        <v>#NAME?</v>
      </c>
      <c r="AH18" s="184" t="e">
        <f ca="1">ROUND(IF(_xlfn.SINGLE(ACOMPANHAMENTO)&lt;&gt;"PLE",0,SUMIF(OFFSET(CÁLCULO!$AX$15:$BH$15,$A18,0,$B18),"&lt;="&amp;PLE.Medicao,OFFSET(CÁLCULO!$AB$15:$AL$15,$A18,0,$B18))+IF(AUTOEVENTO="Manual",SUMIF(OFFSET(CÁLCULO!$M$15,$A18,0,$B18),1,OFFSET(ORÇAMENTO!$X$15,$A18,0,$B18))*PLE!$AE$9,0)),2)</f>
        <v>#NAME?</v>
      </c>
      <c r="AJ18" s="184" t="e">
        <f ca="1">IF(_xlfn.SINGLE(ACOMPANHAMENTO)&lt;&gt;"BM",0,SUMPRODUCT(OFFSET(BM!$M$15,$A18,0,$B18)*(OFFSET(BM!$A$15,$A18,0,$B18)="S")*OFFSET(ORÇAMENTO!AA$15,$A18,0,$B18)/(OFFSET(ORÇAMENTO!$X$15,$A18,0,$B18)+10^-12)))</f>
        <v>#NAME?</v>
      </c>
      <c r="AK18" s="184" t="e">
        <f ca="1">IF(_xlfn.SINGLE(ACOMPANHAMENTO)&lt;&gt;"BM",0,SUMPRODUCT(OFFSET(BM!$M$15,$A18,0,$B18)*(OFFSET(BM!$A$15,$A18,0,$B18)="S")*OFFSET(ORÇAMENTO!AB$15,$A18,0,$B18)/(OFFSET(ORÇAMENTO!$X$15,$A18,0,$B18)+10^-12)))</f>
        <v>#NAME?</v>
      </c>
      <c r="AL18" s="184" t="e">
        <f ca="1">IF(_xlfn.SINGLE(ACOMPANHAMENTO)&lt;&gt;"BM",0,OFFSET(BM!$M$15,$A18,0))</f>
        <v>#NAME?</v>
      </c>
      <c r="AM18" s="184" t="e">
        <f ca="1">IF(_xlfn.SINGLE(ACOMPANHAMENTO)&lt;&gt;"BM",0,SUMPRODUCT(OFFSET(BM!$O$15,$A18,0,$B18)*(OFFSET(BM!$A$15,$A18,0,$B18)="S")*OFFSET(ORÇAMENTO!AA$15,$A18,0,$B18)/(OFFSET(ORÇAMENTO!$X$15,$A18,0,$B18)+10^-12)))</f>
        <v>#NAME?</v>
      </c>
      <c r="AN18" s="184" t="e">
        <f ca="1">IF(_xlfn.SINGLE(ACOMPANHAMENTO)&lt;&gt;"BM",0,SUMPRODUCT(OFFSET(BM!$O$15,$A18,0,$B18)*(OFFSET(BM!$A$15,$A18,0,$B18)="S")*OFFSET(ORÇAMENTO!AB$15,$A18,0,$B18)/(OFFSET(ORÇAMENTO!$X$15,$A18,0,$B18)+10^-12)))</f>
        <v>#NAME?</v>
      </c>
      <c r="AO18" s="184" t="e">
        <f ca="1">IF(_xlfn.SINGLE(ACOMPANHAMENTO)&lt;&gt;"BM",0,OFFSET(BM!$O$15,$A18,0))</f>
        <v>#NAME?</v>
      </c>
    </row>
    <row r="19" spans="1:41" x14ac:dyDescent="0.2">
      <c r="A19" t="e">
        <f ca="1">MATCH(E19,ORÇAMENTO!$E$15:$E$27,0)-1</f>
        <v>#N/A</v>
      </c>
      <c r="B19" t="e">
        <f ca="1">IF(ISERROR($A19),NA(),OFFSET(ORÇAMENTO!$D$15,$A19,0))</f>
        <v>#N/A</v>
      </c>
      <c r="C19" t="str">
        <f ca="1">QCI!B19</f>
        <v>Branco</v>
      </c>
      <c r="D19" t="str">
        <f t="shared" ca="1" si="0"/>
        <v/>
      </c>
      <c r="E19" s="282">
        <f>QCI!D19</f>
        <v>6</v>
      </c>
      <c r="F19" s="363" t="str">
        <f ca="1">QCI!G19</f>
        <v/>
      </c>
      <c r="G19" s="364">
        <f>QCI!H19</f>
        <v>0</v>
      </c>
      <c r="H19" s="283">
        <f>QCI!I19</f>
        <v>0</v>
      </c>
      <c r="I19" s="283" t="str">
        <f ca="1">QCI!J19</f>
        <v/>
      </c>
      <c r="J19" s="365" t="str">
        <f ca="1">QCI!K19</f>
        <v/>
      </c>
      <c r="K19" s="366" t="e">
        <f ca="1">_xlfn.SINGLE(IF($C19="Automático",IF(_xlfn.SINGLE(ACOMPANHAMENTO)="BM",BM.medicao,PLE.Medicao),IF(ISBLANK($X19),"",$X19)))</f>
        <v>#NAME?</v>
      </c>
      <c r="L19" s="287">
        <f ca="1">QCI!$O19</f>
        <v>0</v>
      </c>
      <c r="M19" s="284">
        <f t="shared" ca="1" si="1"/>
        <v>0</v>
      </c>
      <c r="N19" s="285">
        <f t="shared" ca="1" si="2"/>
        <v>0</v>
      </c>
      <c r="O19" s="286">
        <f t="shared" ca="1" si="3"/>
        <v>0</v>
      </c>
      <c r="P19" s="368">
        <f t="shared" ca="1" si="4"/>
        <v>0</v>
      </c>
      <c r="R19" s="367">
        <f ca="1">ROUND(IF($C19="Automático",AC19+AJ19,$Y19*IF(ISERROR(QCI!$AA19/QCI!$O19),0,QCI!$AA19/QCI!$O19)),2)</f>
        <v>0</v>
      </c>
      <c r="S19" s="367">
        <f ca="1">ROUND(IF($C19="Automático",AD19+AK19,$Y19*IF(ISERROR(QCI!$AB19/QCI!$O19),0,QCI!$AB19/QCI!$O19)),2)</f>
        <v>0</v>
      </c>
      <c r="T19" s="367">
        <f ca="1">ROUND(IF($C19="Automático",AF19+AM19,$Z19*IF(ISERROR(QCI!$AA19/QCI!$O19),0,QCI!$AA19/QCI!$O19)),2)</f>
        <v>0</v>
      </c>
      <c r="U19" s="367">
        <f ca="1">ROUND(IF($C19="Automático",AG19+AN19,$Z19*IF(ISERROR(QCI!$AB19/QCI!$O19),0,QCI!$AB19/QCI!$O19)),2)</f>
        <v>0</v>
      </c>
      <c r="V19" s="450">
        <f ca="1">IF(AND($L19&gt;0,$J19&lt;&gt;0,$J19&lt;&gt;"",COUNTIF($J$13:$J19,$J19)=1),OFFSET(V19,-1,0)+1,OFFSET(V19,-1,0))</f>
        <v>0</v>
      </c>
      <c r="X19" s="514"/>
      <c r="Y19" s="288"/>
      <c r="Z19" s="289"/>
      <c r="AC19" s="184" t="e">
        <f ca="1">IF(_xlfn.SINGLE(ACOMPANHAMENTO)&lt;&gt;"PLE",0,SUMPRODUCT((OFFSET(CÁLCULO!$AX$15:$BH$15,$A19,0,$B19)&lt;=(PLE.Medicao-1))*OFFSET(CÁLCULO!$AB$15:$AL$15,$A19,0,$B19)*OFFSET(ORÇAMENTO!$AA$15,$A19,0,$B19)/(OFFSET(ORÇAMENTO!$X$15,$A19,0,$B19)+10^-12))+IF(AUTOEVENTO="Manual",SUMPRODUCT((OFFSET(CÁLCULO!$M$15,$A19,0,$B19)=1)*OFFSET(ORÇAMENTO!$AA$15,$A19,0,$B19)*(PLE!$AE$9-PLE!$Y$9)),0))</f>
        <v>#NAME?</v>
      </c>
      <c r="AD19" s="184" t="e">
        <f ca="1">IF(_xlfn.SINGLE(ACOMPANHAMENTO)&lt;&gt;"PLE",0,SUMPRODUCT((OFFSET(CÁLCULO!$AX$15:$BH$15,$A19,0,$B19)&lt;=(PLE.Medicao-1))*OFFSET(CÁLCULO!$AB$15:$AL$15,$A19,0,$B19)*OFFSET(ORÇAMENTO!$AB$15,$A19,0,$B19)/(OFFSET(ORÇAMENTO!$X$15,$A19,0,$B19)+10^-12))+IF(AUTOEVENTO="Manual",SUMPRODUCT((OFFSET(CÁLCULO!$M$15,$A19,0,$B19)=1)*OFFSET(ORÇAMENTO!$AB$15,$A19,0,$B19)*(PLE!$AE$9-PLE!$Y$9)),0))</f>
        <v>#NAME?</v>
      </c>
      <c r="AE19" s="184" t="e">
        <f ca="1">ROUND(IF(_xlfn.SINGLE(ACOMPANHAMENTO)&lt;&gt;"PLE",0,SUMIF(OFFSET(CÁLCULO!$AX$15:$BH$15,$A19,0,$B19),"&lt;="&amp;(PLE.Medicao-1),OFFSET(CÁLCULO!$AB$15:$AL$15,$A19,0,$B19))+IF(AUTOEVENTO="Manual",SUMIF(OFFSET(CÁLCULO!$M$15,$A19,0,$B19),1,OFFSET(ORÇAMENTO!$X$15,$A19,0,$B19))*(PLE!$AE$9-PLE!$Y$9),0)),2)</f>
        <v>#NAME?</v>
      </c>
      <c r="AF19" s="184" t="e">
        <f ca="1">IF(_xlfn.SINGLE(ACOMPANHAMENTO)&lt;&gt;"PLE",0,SUMPRODUCT((OFFSET(CÁLCULO!$AX$15:$BH$15,$A19,0,$B19)&lt;=PLE.Medicao)*OFFSET(CÁLCULO!$AB$15:$AL$15,$A19,0,$B19)*OFFSET(ORÇAMENTO!$AA$15,$A19,0,$B19)/(OFFSET(ORÇAMENTO!$X$15,$A19,0,$B19)+10^-12))+IF(AUTOEVENTO="Manual",SUMPRODUCT((OFFSET(CÁLCULO!$M$15,$A19,0,$B19)=1)*OFFSET(ORÇAMENTO!$AA$15,$A19,0,$B19)*PLE!$AE$9),0))</f>
        <v>#NAME?</v>
      </c>
      <c r="AG19" s="184" t="e">
        <f ca="1">IF(_xlfn.SINGLE(ACOMPANHAMENTO)&lt;&gt;"PLE",0,SUMPRODUCT((OFFSET(CÁLCULO!$AX$15:$BH$15,$A19,0,$B19)&lt;=PLE.Medicao)*OFFSET(CÁLCULO!$AB$15:$AL$15,$A19,0,$B19)*OFFSET(ORÇAMENTO!$AB$15,$A19,0,$B19)/(OFFSET(ORÇAMENTO!$X$15,$A19,0,$B19)+10^-12))+IF(AUTOEVENTO="Manual",SUMPRODUCT((OFFSET(CÁLCULO!$M$15,$A19,0,$B19)=1)*OFFSET(ORÇAMENTO!$AB$15,$A19,0,$B19)*PLE!$AE$9),0))</f>
        <v>#NAME?</v>
      </c>
      <c r="AH19" s="184" t="e">
        <f ca="1">ROUND(IF(_xlfn.SINGLE(ACOMPANHAMENTO)&lt;&gt;"PLE",0,SUMIF(OFFSET(CÁLCULO!$AX$15:$BH$15,$A19,0,$B19),"&lt;="&amp;PLE.Medicao,OFFSET(CÁLCULO!$AB$15:$AL$15,$A19,0,$B19))+IF(AUTOEVENTO="Manual",SUMIF(OFFSET(CÁLCULO!$M$15,$A19,0,$B19),1,OFFSET(ORÇAMENTO!$X$15,$A19,0,$B19))*PLE!$AE$9,0)),2)</f>
        <v>#NAME?</v>
      </c>
      <c r="AJ19" s="184" t="e">
        <f ca="1">IF(_xlfn.SINGLE(ACOMPANHAMENTO)&lt;&gt;"BM",0,SUMPRODUCT(OFFSET(BM!$M$15,$A19,0,$B19)*(OFFSET(BM!$A$15,$A19,0,$B19)="S")*OFFSET(ORÇAMENTO!AA$15,$A19,0,$B19)/(OFFSET(ORÇAMENTO!$X$15,$A19,0,$B19)+10^-12)))</f>
        <v>#NAME?</v>
      </c>
      <c r="AK19" s="184" t="e">
        <f ca="1">IF(_xlfn.SINGLE(ACOMPANHAMENTO)&lt;&gt;"BM",0,SUMPRODUCT(OFFSET(BM!$M$15,$A19,0,$B19)*(OFFSET(BM!$A$15,$A19,0,$B19)="S")*OFFSET(ORÇAMENTO!AB$15,$A19,0,$B19)/(OFFSET(ORÇAMENTO!$X$15,$A19,0,$B19)+10^-12)))</f>
        <v>#NAME?</v>
      </c>
      <c r="AL19" s="184" t="e">
        <f ca="1">IF(_xlfn.SINGLE(ACOMPANHAMENTO)&lt;&gt;"BM",0,OFFSET(BM!$M$15,$A19,0))</f>
        <v>#NAME?</v>
      </c>
      <c r="AM19" s="184" t="e">
        <f ca="1">IF(_xlfn.SINGLE(ACOMPANHAMENTO)&lt;&gt;"BM",0,SUMPRODUCT(OFFSET(BM!$O$15,$A19,0,$B19)*(OFFSET(BM!$A$15,$A19,0,$B19)="S")*OFFSET(ORÇAMENTO!AA$15,$A19,0,$B19)/(OFFSET(ORÇAMENTO!$X$15,$A19,0,$B19)+10^-12)))</f>
        <v>#NAME?</v>
      </c>
      <c r="AN19" s="184" t="e">
        <f ca="1">IF(_xlfn.SINGLE(ACOMPANHAMENTO)&lt;&gt;"BM",0,SUMPRODUCT(OFFSET(BM!$O$15,$A19,0,$B19)*(OFFSET(BM!$A$15,$A19,0,$B19)="S")*OFFSET(ORÇAMENTO!AB$15,$A19,0,$B19)/(OFFSET(ORÇAMENTO!$X$15,$A19,0,$B19)+10^-12)))</f>
        <v>#NAME?</v>
      </c>
      <c r="AO19" s="184" t="e">
        <f ca="1">IF(_xlfn.SINGLE(ACOMPANHAMENTO)&lt;&gt;"BM",0,OFFSET(BM!$O$15,$A19,0))</f>
        <v>#NAME?</v>
      </c>
    </row>
    <row r="20" spans="1:41" x14ac:dyDescent="0.2">
      <c r="A20" t="e">
        <f ca="1">MATCH(E20,ORÇAMENTO!$E$15:$E$27,0)-1</f>
        <v>#N/A</v>
      </c>
      <c r="B20" t="e">
        <f ca="1">IF(ISERROR($A20),NA(),OFFSET(ORÇAMENTO!$D$15,$A20,0))</f>
        <v>#N/A</v>
      </c>
      <c r="C20" t="str">
        <f ca="1">QCI!B20</f>
        <v>Branco</v>
      </c>
      <c r="D20" t="str">
        <f t="shared" ca="1" si="0"/>
        <v/>
      </c>
      <c r="E20" s="282">
        <f>QCI!D20</f>
        <v>7</v>
      </c>
      <c r="F20" s="363" t="str">
        <f ca="1">QCI!G20</f>
        <v/>
      </c>
      <c r="G20" s="364">
        <f>QCI!H20</f>
        <v>0</v>
      </c>
      <c r="H20" s="283">
        <f>QCI!I20</f>
        <v>0</v>
      </c>
      <c r="I20" s="283" t="str">
        <f ca="1">QCI!J20</f>
        <v/>
      </c>
      <c r="J20" s="365" t="str">
        <f ca="1">QCI!K20</f>
        <v/>
      </c>
      <c r="K20" s="366" t="e">
        <f ca="1">_xlfn.SINGLE(IF($C20="Automático",IF(_xlfn.SINGLE(ACOMPANHAMENTO)="BM",BM.medicao,PLE.Medicao),IF(ISBLANK($X20),"",$X20)))</f>
        <v>#NAME?</v>
      </c>
      <c r="L20" s="287">
        <f ca="1">QCI!$O20</f>
        <v>0</v>
      </c>
      <c r="M20" s="284">
        <f t="shared" ca="1" si="1"/>
        <v>0</v>
      </c>
      <c r="N20" s="285">
        <f t="shared" ca="1" si="2"/>
        <v>0</v>
      </c>
      <c r="O20" s="286">
        <f t="shared" ca="1" si="3"/>
        <v>0</v>
      </c>
      <c r="P20" s="368">
        <f t="shared" ca="1" si="4"/>
        <v>0</v>
      </c>
      <c r="R20" s="367">
        <f ca="1">ROUND(IF($C20="Automático",AC20+AJ20,$Y20*IF(ISERROR(QCI!$AA20/QCI!$O20),0,QCI!$AA20/QCI!$O20)),2)</f>
        <v>0</v>
      </c>
      <c r="S20" s="367">
        <f ca="1">ROUND(IF($C20="Automático",AD20+AK20,$Y20*IF(ISERROR(QCI!$AB20/QCI!$O20),0,QCI!$AB20/QCI!$O20)),2)</f>
        <v>0</v>
      </c>
      <c r="T20" s="367">
        <f ca="1">ROUND(IF($C20="Automático",AF20+AM20,$Z20*IF(ISERROR(QCI!$AA20/QCI!$O20),0,QCI!$AA20/QCI!$O20)),2)</f>
        <v>0</v>
      </c>
      <c r="U20" s="367">
        <f ca="1">ROUND(IF($C20="Automático",AG20+AN20,$Z20*IF(ISERROR(QCI!$AB20/QCI!$O20),0,QCI!$AB20/QCI!$O20)),2)</f>
        <v>0</v>
      </c>
      <c r="V20" s="450">
        <f ca="1">IF(AND($L20&gt;0,$J20&lt;&gt;0,$J20&lt;&gt;"",COUNTIF($J$13:$J20,$J20)=1),OFFSET(V20,-1,0)+1,OFFSET(V20,-1,0))</f>
        <v>0</v>
      </c>
      <c r="X20" s="514"/>
      <c r="Y20" s="288"/>
      <c r="Z20" s="289"/>
      <c r="AC20" s="184" t="e">
        <f ca="1">IF(_xlfn.SINGLE(ACOMPANHAMENTO)&lt;&gt;"PLE",0,SUMPRODUCT((OFFSET(CÁLCULO!$AX$15:$BH$15,$A20,0,$B20)&lt;=(PLE.Medicao-1))*OFFSET(CÁLCULO!$AB$15:$AL$15,$A20,0,$B20)*OFFSET(ORÇAMENTO!$AA$15,$A20,0,$B20)/(OFFSET(ORÇAMENTO!$X$15,$A20,0,$B20)+10^-12))+IF(AUTOEVENTO="Manual",SUMPRODUCT((OFFSET(CÁLCULO!$M$15,$A20,0,$B20)=1)*OFFSET(ORÇAMENTO!$AA$15,$A20,0,$B20)*(PLE!$AE$9-PLE!$Y$9)),0))</f>
        <v>#NAME?</v>
      </c>
      <c r="AD20" s="184" t="e">
        <f ca="1">IF(_xlfn.SINGLE(ACOMPANHAMENTO)&lt;&gt;"PLE",0,SUMPRODUCT((OFFSET(CÁLCULO!$AX$15:$BH$15,$A20,0,$B20)&lt;=(PLE.Medicao-1))*OFFSET(CÁLCULO!$AB$15:$AL$15,$A20,0,$B20)*OFFSET(ORÇAMENTO!$AB$15,$A20,0,$B20)/(OFFSET(ORÇAMENTO!$X$15,$A20,0,$B20)+10^-12))+IF(AUTOEVENTO="Manual",SUMPRODUCT((OFFSET(CÁLCULO!$M$15,$A20,0,$B20)=1)*OFFSET(ORÇAMENTO!$AB$15,$A20,0,$B20)*(PLE!$AE$9-PLE!$Y$9)),0))</f>
        <v>#NAME?</v>
      </c>
      <c r="AE20" s="184" t="e">
        <f ca="1">ROUND(IF(_xlfn.SINGLE(ACOMPANHAMENTO)&lt;&gt;"PLE",0,SUMIF(OFFSET(CÁLCULO!$AX$15:$BH$15,$A20,0,$B20),"&lt;="&amp;(PLE.Medicao-1),OFFSET(CÁLCULO!$AB$15:$AL$15,$A20,0,$B20))+IF(AUTOEVENTO="Manual",SUMIF(OFFSET(CÁLCULO!$M$15,$A20,0,$B20),1,OFFSET(ORÇAMENTO!$X$15,$A20,0,$B20))*(PLE!$AE$9-PLE!$Y$9),0)),2)</f>
        <v>#NAME?</v>
      </c>
      <c r="AF20" s="184" t="e">
        <f ca="1">IF(_xlfn.SINGLE(ACOMPANHAMENTO)&lt;&gt;"PLE",0,SUMPRODUCT((OFFSET(CÁLCULO!$AX$15:$BH$15,$A20,0,$B20)&lt;=PLE.Medicao)*OFFSET(CÁLCULO!$AB$15:$AL$15,$A20,0,$B20)*OFFSET(ORÇAMENTO!$AA$15,$A20,0,$B20)/(OFFSET(ORÇAMENTO!$X$15,$A20,0,$B20)+10^-12))+IF(AUTOEVENTO="Manual",SUMPRODUCT((OFFSET(CÁLCULO!$M$15,$A20,0,$B20)=1)*OFFSET(ORÇAMENTO!$AA$15,$A20,0,$B20)*PLE!$AE$9),0))</f>
        <v>#NAME?</v>
      </c>
      <c r="AG20" s="184" t="e">
        <f ca="1">IF(_xlfn.SINGLE(ACOMPANHAMENTO)&lt;&gt;"PLE",0,SUMPRODUCT((OFFSET(CÁLCULO!$AX$15:$BH$15,$A20,0,$B20)&lt;=PLE.Medicao)*OFFSET(CÁLCULO!$AB$15:$AL$15,$A20,0,$B20)*OFFSET(ORÇAMENTO!$AB$15,$A20,0,$B20)/(OFFSET(ORÇAMENTO!$X$15,$A20,0,$B20)+10^-12))+IF(AUTOEVENTO="Manual",SUMPRODUCT((OFFSET(CÁLCULO!$M$15,$A20,0,$B20)=1)*OFFSET(ORÇAMENTO!$AB$15,$A20,0,$B20)*PLE!$AE$9),0))</f>
        <v>#NAME?</v>
      </c>
      <c r="AH20" s="184" t="e">
        <f ca="1">ROUND(IF(_xlfn.SINGLE(ACOMPANHAMENTO)&lt;&gt;"PLE",0,SUMIF(OFFSET(CÁLCULO!$AX$15:$BH$15,$A20,0,$B20),"&lt;="&amp;PLE.Medicao,OFFSET(CÁLCULO!$AB$15:$AL$15,$A20,0,$B20))+IF(AUTOEVENTO="Manual",SUMIF(OFFSET(CÁLCULO!$M$15,$A20,0,$B20),1,OFFSET(ORÇAMENTO!$X$15,$A20,0,$B20))*PLE!$AE$9,0)),2)</f>
        <v>#NAME?</v>
      </c>
      <c r="AJ20" s="184" t="e">
        <f ca="1">IF(_xlfn.SINGLE(ACOMPANHAMENTO)&lt;&gt;"BM",0,SUMPRODUCT(OFFSET(BM!$M$15,$A20,0,$B20)*(OFFSET(BM!$A$15,$A20,0,$B20)="S")*OFFSET(ORÇAMENTO!AA$15,$A20,0,$B20)/(OFFSET(ORÇAMENTO!$X$15,$A20,0,$B20)+10^-12)))</f>
        <v>#NAME?</v>
      </c>
      <c r="AK20" s="184" t="e">
        <f ca="1">IF(_xlfn.SINGLE(ACOMPANHAMENTO)&lt;&gt;"BM",0,SUMPRODUCT(OFFSET(BM!$M$15,$A20,0,$B20)*(OFFSET(BM!$A$15,$A20,0,$B20)="S")*OFFSET(ORÇAMENTO!AB$15,$A20,0,$B20)/(OFFSET(ORÇAMENTO!$X$15,$A20,0,$B20)+10^-12)))</f>
        <v>#NAME?</v>
      </c>
      <c r="AL20" s="184" t="e">
        <f ca="1">IF(_xlfn.SINGLE(ACOMPANHAMENTO)&lt;&gt;"BM",0,OFFSET(BM!$M$15,$A20,0))</f>
        <v>#NAME?</v>
      </c>
      <c r="AM20" s="184" t="e">
        <f ca="1">IF(_xlfn.SINGLE(ACOMPANHAMENTO)&lt;&gt;"BM",0,SUMPRODUCT(OFFSET(BM!$O$15,$A20,0,$B20)*(OFFSET(BM!$A$15,$A20,0,$B20)="S")*OFFSET(ORÇAMENTO!AA$15,$A20,0,$B20)/(OFFSET(ORÇAMENTO!$X$15,$A20,0,$B20)+10^-12)))</f>
        <v>#NAME?</v>
      </c>
      <c r="AN20" s="184" t="e">
        <f ca="1">IF(_xlfn.SINGLE(ACOMPANHAMENTO)&lt;&gt;"BM",0,SUMPRODUCT(OFFSET(BM!$O$15,$A20,0,$B20)*(OFFSET(BM!$A$15,$A20,0,$B20)="S")*OFFSET(ORÇAMENTO!AB$15,$A20,0,$B20)/(OFFSET(ORÇAMENTO!$X$15,$A20,0,$B20)+10^-12)))</f>
        <v>#NAME?</v>
      </c>
      <c r="AO20" s="184" t="e">
        <f ca="1">IF(_xlfn.SINGLE(ACOMPANHAMENTO)&lt;&gt;"BM",0,OFFSET(BM!$O$15,$A20,0))</f>
        <v>#NAME?</v>
      </c>
    </row>
    <row r="21" spans="1:41" x14ac:dyDescent="0.2">
      <c r="A21" t="e">
        <f ca="1">MATCH(E21,ORÇAMENTO!$E$15:$E$27,0)-1</f>
        <v>#N/A</v>
      </c>
      <c r="B21" t="e">
        <f ca="1">IF(ISERROR($A21),NA(),OFFSET(ORÇAMENTO!$D$15,$A21,0))</f>
        <v>#N/A</v>
      </c>
      <c r="C21" t="str">
        <f ca="1">QCI!B21</f>
        <v>Branco</v>
      </c>
      <c r="D21" t="str">
        <f t="shared" ca="1" si="0"/>
        <v/>
      </c>
      <c r="E21" s="282">
        <f>QCI!D21</f>
        <v>8</v>
      </c>
      <c r="F21" s="363" t="str">
        <f ca="1">QCI!G21</f>
        <v/>
      </c>
      <c r="G21" s="364">
        <f>QCI!H21</f>
        <v>0</v>
      </c>
      <c r="H21" s="283">
        <f>QCI!I21</f>
        <v>0</v>
      </c>
      <c r="I21" s="283" t="str">
        <f ca="1">QCI!J21</f>
        <v/>
      </c>
      <c r="J21" s="365" t="str">
        <f ca="1">QCI!K21</f>
        <v/>
      </c>
      <c r="K21" s="366" t="e">
        <f ca="1">_xlfn.SINGLE(IF($C21="Automático",IF(_xlfn.SINGLE(ACOMPANHAMENTO)="BM",BM.medicao,PLE.Medicao),IF(ISBLANK($X21),"",$X21)))</f>
        <v>#NAME?</v>
      </c>
      <c r="L21" s="287">
        <f ca="1">QCI!$O21</f>
        <v>0</v>
      </c>
      <c r="M21" s="284">
        <f t="shared" ca="1" si="1"/>
        <v>0</v>
      </c>
      <c r="N21" s="285">
        <f t="shared" ca="1" si="2"/>
        <v>0</v>
      </c>
      <c r="O21" s="286">
        <f t="shared" ca="1" si="3"/>
        <v>0</v>
      </c>
      <c r="P21" s="368">
        <f t="shared" ca="1" si="4"/>
        <v>0</v>
      </c>
      <c r="R21" s="367">
        <f ca="1">ROUND(IF($C21="Automático",AC21+AJ21,$Y21*IF(ISERROR(QCI!$AA21/QCI!$O21),0,QCI!$AA21/QCI!$O21)),2)</f>
        <v>0</v>
      </c>
      <c r="S21" s="367">
        <f ca="1">ROUND(IF($C21="Automático",AD21+AK21,$Y21*IF(ISERROR(QCI!$AB21/QCI!$O21),0,QCI!$AB21/QCI!$O21)),2)</f>
        <v>0</v>
      </c>
      <c r="T21" s="367">
        <f ca="1">ROUND(IF($C21="Automático",AF21+AM21,$Z21*IF(ISERROR(QCI!$AA21/QCI!$O21),0,QCI!$AA21/QCI!$O21)),2)</f>
        <v>0</v>
      </c>
      <c r="U21" s="367">
        <f ca="1">ROUND(IF($C21="Automático",AG21+AN21,$Z21*IF(ISERROR(QCI!$AB21/QCI!$O21),0,QCI!$AB21/QCI!$O21)),2)</f>
        <v>0</v>
      </c>
      <c r="V21" s="450">
        <f ca="1">IF(AND($L21&gt;0,$J21&lt;&gt;0,$J21&lt;&gt;"",COUNTIF($J$13:$J21,$J21)=1),OFFSET(V21,-1,0)+1,OFFSET(V21,-1,0))</f>
        <v>0</v>
      </c>
      <c r="X21" s="514"/>
      <c r="Y21" s="288"/>
      <c r="Z21" s="289"/>
      <c r="AC21" s="184" t="e">
        <f ca="1">IF(_xlfn.SINGLE(ACOMPANHAMENTO)&lt;&gt;"PLE",0,SUMPRODUCT((OFFSET(CÁLCULO!$AX$15:$BH$15,$A21,0,$B21)&lt;=(PLE.Medicao-1))*OFFSET(CÁLCULO!$AB$15:$AL$15,$A21,0,$B21)*OFFSET(ORÇAMENTO!$AA$15,$A21,0,$B21)/(OFFSET(ORÇAMENTO!$X$15,$A21,0,$B21)+10^-12))+IF(AUTOEVENTO="Manual",SUMPRODUCT((OFFSET(CÁLCULO!$M$15,$A21,0,$B21)=1)*OFFSET(ORÇAMENTO!$AA$15,$A21,0,$B21)*(PLE!$AE$9-PLE!$Y$9)),0))</f>
        <v>#NAME?</v>
      </c>
      <c r="AD21" s="184" t="e">
        <f ca="1">IF(_xlfn.SINGLE(ACOMPANHAMENTO)&lt;&gt;"PLE",0,SUMPRODUCT((OFFSET(CÁLCULO!$AX$15:$BH$15,$A21,0,$B21)&lt;=(PLE.Medicao-1))*OFFSET(CÁLCULO!$AB$15:$AL$15,$A21,0,$B21)*OFFSET(ORÇAMENTO!$AB$15,$A21,0,$B21)/(OFFSET(ORÇAMENTO!$X$15,$A21,0,$B21)+10^-12))+IF(AUTOEVENTO="Manual",SUMPRODUCT((OFFSET(CÁLCULO!$M$15,$A21,0,$B21)=1)*OFFSET(ORÇAMENTO!$AB$15,$A21,0,$B21)*(PLE!$AE$9-PLE!$Y$9)),0))</f>
        <v>#NAME?</v>
      </c>
      <c r="AE21" s="184" t="e">
        <f ca="1">ROUND(IF(_xlfn.SINGLE(ACOMPANHAMENTO)&lt;&gt;"PLE",0,SUMIF(OFFSET(CÁLCULO!$AX$15:$BH$15,$A21,0,$B21),"&lt;="&amp;(PLE.Medicao-1),OFFSET(CÁLCULO!$AB$15:$AL$15,$A21,0,$B21))+IF(AUTOEVENTO="Manual",SUMIF(OFFSET(CÁLCULO!$M$15,$A21,0,$B21),1,OFFSET(ORÇAMENTO!$X$15,$A21,0,$B21))*(PLE!$AE$9-PLE!$Y$9),0)),2)</f>
        <v>#NAME?</v>
      </c>
      <c r="AF21" s="184" t="e">
        <f ca="1">IF(_xlfn.SINGLE(ACOMPANHAMENTO)&lt;&gt;"PLE",0,SUMPRODUCT((OFFSET(CÁLCULO!$AX$15:$BH$15,$A21,0,$B21)&lt;=PLE.Medicao)*OFFSET(CÁLCULO!$AB$15:$AL$15,$A21,0,$B21)*OFFSET(ORÇAMENTO!$AA$15,$A21,0,$B21)/(OFFSET(ORÇAMENTO!$X$15,$A21,0,$B21)+10^-12))+IF(AUTOEVENTO="Manual",SUMPRODUCT((OFFSET(CÁLCULO!$M$15,$A21,0,$B21)=1)*OFFSET(ORÇAMENTO!$AA$15,$A21,0,$B21)*PLE!$AE$9),0))</f>
        <v>#NAME?</v>
      </c>
      <c r="AG21" s="184" t="e">
        <f ca="1">IF(_xlfn.SINGLE(ACOMPANHAMENTO)&lt;&gt;"PLE",0,SUMPRODUCT((OFFSET(CÁLCULO!$AX$15:$BH$15,$A21,0,$B21)&lt;=PLE.Medicao)*OFFSET(CÁLCULO!$AB$15:$AL$15,$A21,0,$B21)*OFFSET(ORÇAMENTO!$AB$15,$A21,0,$B21)/(OFFSET(ORÇAMENTO!$X$15,$A21,0,$B21)+10^-12))+IF(AUTOEVENTO="Manual",SUMPRODUCT((OFFSET(CÁLCULO!$M$15,$A21,0,$B21)=1)*OFFSET(ORÇAMENTO!$AB$15,$A21,0,$B21)*PLE!$AE$9),0))</f>
        <v>#NAME?</v>
      </c>
      <c r="AH21" s="184" t="e">
        <f ca="1">ROUND(IF(_xlfn.SINGLE(ACOMPANHAMENTO)&lt;&gt;"PLE",0,SUMIF(OFFSET(CÁLCULO!$AX$15:$BH$15,$A21,0,$B21),"&lt;="&amp;PLE.Medicao,OFFSET(CÁLCULO!$AB$15:$AL$15,$A21,0,$B21))+IF(AUTOEVENTO="Manual",SUMIF(OFFSET(CÁLCULO!$M$15,$A21,0,$B21),1,OFFSET(ORÇAMENTO!$X$15,$A21,0,$B21))*PLE!$AE$9,0)),2)</f>
        <v>#NAME?</v>
      </c>
      <c r="AJ21" s="184" t="e">
        <f ca="1">IF(_xlfn.SINGLE(ACOMPANHAMENTO)&lt;&gt;"BM",0,SUMPRODUCT(OFFSET(BM!$M$15,$A21,0,$B21)*(OFFSET(BM!$A$15,$A21,0,$B21)="S")*OFFSET(ORÇAMENTO!AA$15,$A21,0,$B21)/(OFFSET(ORÇAMENTO!$X$15,$A21,0,$B21)+10^-12)))</f>
        <v>#NAME?</v>
      </c>
      <c r="AK21" s="184" t="e">
        <f ca="1">IF(_xlfn.SINGLE(ACOMPANHAMENTO)&lt;&gt;"BM",0,SUMPRODUCT(OFFSET(BM!$M$15,$A21,0,$B21)*(OFFSET(BM!$A$15,$A21,0,$B21)="S")*OFFSET(ORÇAMENTO!AB$15,$A21,0,$B21)/(OFFSET(ORÇAMENTO!$X$15,$A21,0,$B21)+10^-12)))</f>
        <v>#NAME?</v>
      </c>
      <c r="AL21" s="184" t="e">
        <f ca="1">IF(_xlfn.SINGLE(ACOMPANHAMENTO)&lt;&gt;"BM",0,OFFSET(BM!$M$15,$A21,0))</f>
        <v>#NAME?</v>
      </c>
      <c r="AM21" s="184" t="e">
        <f ca="1">IF(_xlfn.SINGLE(ACOMPANHAMENTO)&lt;&gt;"BM",0,SUMPRODUCT(OFFSET(BM!$O$15,$A21,0,$B21)*(OFFSET(BM!$A$15,$A21,0,$B21)="S")*OFFSET(ORÇAMENTO!AA$15,$A21,0,$B21)/(OFFSET(ORÇAMENTO!$X$15,$A21,0,$B21)+10^-12)))</f>
        <v>#NAME?</v>
      </c>
      <c r="AN21" s="184" t="e">
        <f ca="1">IF(_xlfn.SINGLE(ACOMPANHAMENTO)&lt;&gt;"BM",0,SUMPRODUCT(OFFSET(BM!$O$15,$A21,0,$B21)*(OFFSET(BM!$A$15,$A21,0,$B21)="S")*OFFSET(ORÇAMENTO!AB$15,$A21,0,$B21)/(OFFSET(ORÇAMENTO!$X$15,$A21,0,$B21)+10^-12)))</f>
        <v>#NAME?</v>
      </c>
      <c r="AO21" s="184" t="e">
        <f ca="1">IF(_xlfn.SINGLE(ACOMPANHAMENTO)&lt;&gt;"BM",0,OFFSET(BM!$O$15,$A21,0))</f>
        <v>#NAME?</v>
      </c>
    </row>
    <row r="22" spans="1:41" x14ac:dyDescent="0.2">
      <c r="A22" t="e">
        <f ca="1">MATCH(E22,ORÇAMENTO!$E$15:$E$27,0)-1</f>
        <v>#N/A</v>
      </c>
      <c r="B22" t="e">
        <f ca="1">IF(ISERROR($A22),NA(),OFFSET(ORÇAMENTO!$D$15,$A22,0))</f>
        <v>#N/A</v>
      </c>
      <c r="C22" t="str">
        <f ca="1">QCI!B22</f>
        <v>Branco</v>
      </c>
      <c r="D22" t="str">
        <f t="shared" ca="1" si="0"/>
        <v/>
      </c>
      <c r="E22" s="282">
        <f>QCI!D22</f>
        <v>9</v>
      </c>
      <c r="F22" s="363" t="str">
        <f ca="1">QCI!G22</f>
        <v/>
      </c>
      <c r="G22" s="364">
        <f>QCI!H22</f>
        <v>0</v>
      </c>
      <c r="H22" s="283">
        <f>QCI!I22</f>
        <v>0</v>
      </c>
      <c r="I22" s="283" t="str">
        <f ca="1">QCI!J22</f>
        <v/>
      </c>
      <c r="J22" s="365" t="str">
        <f ca="1">QCI!K22</f>
        <v/>
      </c>
      <c r="K22" s="366" t="e">
        <f ca="1">_xlfn.SINGLE(IF($C22="Automático",IF(_xlfn.SINGLE(ACOMPANHAMENTO)="BM",BM.medicao,PLE.Medicao),IF(ISBLANK($X22),"",$X22)))</f>
        <v>#NAME?</v>
      </c>
      <c r="L22" s="287">
        <f ca="1">QCI!$O22</f>
        <v>0</v>
      </c>
      <c r="M22" s="284">
        <f t="shared" ca="1" si="1"/>
        <v>0</v>
      </c>
      <c r="N22" s="285">
        <f t="shared" ca="1" si="2"/>
        <v>0</v>
      </c>
      <c r="O22" s="286">
        <f t="shared" ca="1" si="3"/>
        <v>0</v>
      </c>
      <c r="P22" s="368">
        <f t="shared" ca="1" si="4"/>
        <v>0</v>
      </c>
      <c r="R22" s="367">
        <f ca="1">ROUND(IF($C22="Automático",AC22+AJ22,$Y22*IF(ISERROR(QCI!$AA22/QCI!$O22),0,QCI!$AA22/QCI!$O22)),2)</f>
        <v>0</v>
      </c>
      <c r="S22" s="367">
        <f ca="1">ROUND(IF($C22="Automático",AD22+AK22,$Y22*IF(ISERROR(QCI!$AB22/QCI!$O22),0,QCI!$AB22/QCI!$O22)),2)</f>
        <v>0</v>
      </c>
      <c r="T22" s="367">
        <f ca="1">ROUND(IF($C22="Automático",AF22+AM22,$Z22*IF(ISERROR(QCI!$AA22/QCI!$O22),0,QCI!$AA22/QCI!$O22)),2)</f>
        <v>0</v>
      </c>
      <c r="U22" s="367">
        <f ca="1">ROUND(IF($C22="Automático",AG22+AN22,$Z22*IF(ISERROR(QCI!$AB22/QCI!$O22),0,QCI!$AB22/QCI!$O22)),2)</f>
        <v>0</v>
      </c>
      <c r="V22" s="450">
        <f ca="1">IF(AND($L22&gt;0,$J22&lt;&gt;0,$J22&lt;&gt;"",COUNTIF($J$13:$J22,$J22)=1),OFFSET(V22,-1,0)+1,OFFSET(V22,-1,0))</f>
        <v>0</v>
      </c>
      <c r="X22" s="514"/>
      <c r="Y22" s="288"/>
      <c r="Z22" s="289"/>
      <c r="AC22" s="184" t="e">
        <f ca="1">IF(_xlfn.SINGLE(ACOMPANHAMENTO)&lt;&gt;"PLE",0,SUMPRODUCT((OFFSET(CÁLCULO!$AX$15:$BH$15,$A22,0,$B22)&lt;=(PLE.Medicao-1))*OFFSET(CÁLCULO!$AB$15:$AL$15,$A22,0,$B22)*OFFSET(ORÇAMENTO!$AA$15,$A22,0,$B22)/(OFFSET(ORÇAMENTO!$X$15,$A22,0,$B22)+10^-12))+IF(AUTOEVENTO="Manual",SUMPRODUCT((OFFSET(CÁLCULO!$M$15,$A22,0,$B22)=1)*OFFSET(ORÇAMENTO!$AA$15,$A22,0,$B22)*(PLE!$AE$9-PLE!$Y$9)),0))</f>
        <v>#NAME?</v>
      </c>
      <c r="AD22" s="184" t="e">
        <f ca="1">IF(_xlfn.SINGLE(ACOMPANHAMENTO)&lt;&gt;"PLE",0,SUMPRODUCT((OFFSET(CÁLCULO!$AX$15:$BH$15,$A22,0,$B22)&lt;=(PLE.Medicao-1))*OFFSET(CÁLCULO!$AB$15:$AL$15,$A22,0,$B22)*OFFSET(ORÇAMENTO!$AB$15,$A22,0,$B22)/(OFFSET(ORÇAMENTO!$X$15,$A22,0,$B22)+10^-12))+IF(AUTOEVENTO="Manual",SUMPRODUCT((OFFSET(CÁLCULO!$M$15,$A22,0,$B22)=1)*OFFSET(ORÇAMENTO!$AB$15,$A22,0,$B22)*(PLE!$AE$9-PLE!$Y$9)),0))</f>
        <v>#NAME?</v>
      </c>
      <c r="AE22" s="184" t="e">
        <f ca="1">ROUND(IF(_xlfn.SINGLE(ACOMPANHAMENTO)&lt;&gt;"PLE",0,SUMIF(OFFSET(CÁLCULO!$AX$15:$BH$15,$A22,0,$B22),"&lt;="&amp;(PLE.Medicao-1),OFFSET(CÁLCULO!$AB$15:$AL$15,$A22,0,$B22))+IF(AUTOEVENTO="Manual",SUMIF(OFFSET(CÁLCULO!$M$15,$A22,0,$B22),1,OFFSET(ORÇAMENTO!$X$15,$A22,0,$B22))*(PLE!$AE$9-PLE!$Y$9),0)),2)</f>
        <v>#NAME?</v>
      </c>
      <c r="AF22" s="184" t="e">
        <f ca="1">IF(_xlfn.SINGLE(ACOMPANHAMENTO)&lt;&gt;"PLE",0,SUMPRODUCT((OFFSET(CÁLCULO!$AX$15:$BH$15,$A22,0,$B22)&lt;=PLE.Medicao)*OFFSET(CÁLCULO!$AB$15:$AL$15,$A22,0,$B22)*OFFSET(ORÇAMENTO!$AA$15,$A22,0,$B22)/(OFFSET(ORÇAMENTO!$X$15,$A22,0,$B22)+10^-12))+IF(AUTOEVENTO="Manual",SUMPRODUCT((OFFSET(CÁLCULO!$M$15,$A22,0,$B22)=1)*OFFSET(ORÇAMENTO!$AA$15,$A22,0,$B22)*PLE!$AE$9),0))</f>
        <v>#NAME?</v>
      </c>
      <c r="AG22" s="184" t="e">
        <f ca="1">IF(_xlfn.SINGLE(ACOMPANHAMENTO)&lt;&gt;"PLE",0,SUMPRODUCT((OFFSET(CÁLCULO!$AX$15:$BH$15,$A22,0,$B22)&lt;=PLE.Medicao)*OFFSET(CÁLCULO!$AB$15:$AL$15,$A22,0,$B22)*OFFSET(ORÇAMENTO!$AB$15,$A22,0,$B22)/(OFFSET(ORÇAMENTO!$X$15,$A22,0,$B22)+10^-12))+IF(AUTOEVENTO="Manual",SUMPRODUCT((OFFSET(CÁLCULO!$M$15,$A22,0,$B22)=1)*OFFSET(ORÇAMENTO!$AB$15,$A22,0,$B22)*PLE!$AE$9),0))</f>
        <v>#NAME?</v>
      </c>
      <c r="AH22" s="184" t="e">
        <f ca="1">ROUND(IF(_xlfn.SINGLE(ACOMPANHAMENTO)&lt;&gt;"PLE",0,SUMIF(OFFSET(CÁLCULO!$AX$15:$BH$15,$A22,0,$B22),"&lt;="&amp;PLE.Medicao,OFFSET(CÁLCULO!$AB$15:$AL$15,$A22,0,$B22))+IF(AUTOEVENTO="Manual",SUMIF(OFFSET(CÁLCULO!$M$15,$A22,0,$B22),1,OFFSET(ORÇAMENTO!$X$15,$A22,0,$B22))*PLE!$AE$9,0)),2)</f>
        <v>#NAME?</v>
      </c>
      <c r="AJ22" s="184" t="e">
        <f ca="1">IF(_xlfn.SINGLE(ACOMPANHAMENTO)&lt;&gt;"BM",0,SUMPRODUCT(OFFSET(BM!$M$15,$A22,0,$B22)*(OFFSET(BM!$A$15,$A22,0,$B22)="S")*OFFSET(ORÇAMENTO!AA$15,$A22,0,$B22)/(OFFSET(ORÇAMENTO!$X$15,$A22,0,$B22)+10^-12)))</f>
        <v>#NAME?</v>
      </c>
      <c r="AK22" s="184" t="e">
        <f ca="1">IF(_xlfn.SINGLE(ACOMPANHAMENTO)&lt;&gt;"BM",0,SUMPRODUCT(OFFSET(BM!$M$15,$A22,0,$B22)*(OFFSET(BM!$A$15,$A22,0,$B22)="S")*OFFSET(ORÇAMENTO!AB$15,$A22,0,$B22)/(OFFSET(ORÇAMENTO!$X$15,$A22,0,$B22)+10^-12)))</f>
        <v>#NAME?</v>
      </c>
      <c r="AL22" s="184" t="e">
        <f ca="1">IF(_xlfn.SINGLE(ACOMPANHAMENTO)&lt;&gt;"BM",0,OFFSET(BM!$M$15,$A22,0))</f>
        <v>#NAME?</v>
      </c>
      <c r="AM22" s="184" t="e">
        <f ca="1">IF(_xlfn.SINGLE(ACOMPANHAMENTO)&lt;&gt;"BM",0,SUMPRODUCT(OFFSET(BM!$O$15,$A22,0,$B22)*(OFFSET(BM!$A$15,$A22,0,$B22)="S")*OFFSET(ORÇAMENTO!AA$15,$A22,0,$B22)/(OFFSET(ORÇAMENTO!$X$15,$A22,0,$B22)+10^-12)))</f>
        <v>#NAME?</v>
      </c>
      <c r="AN22" s="184" t="e">
        <f ca="1">IF(_xlfn.SINGLE(ACOMPANHAMENTO)&lt;&gt;"BM",0,SUMPRODUCT(OFFSET(BM!$O$15,$A22,0,$B22)*(OFFSET(BM!$A$15,$A22,0,$B22)="S")*OFFSET(ORÇAMENTO!AB$15,$A22,0,$B22)/(OFFSET(ORÇAMENTO!$X$15,$A22,0,$B22)+10^-12)))</f>
        <v>#NAME?</v>
      </c>
      <c r="AO22" s="184" t="e">
        <f ca="1">IF(_xlfn.SINGLE(ACOMPANHAMENTO)&lt;&gt;"BM",0,OFFSET(BM!$O$15,$A22,0))</f>
        <v>#NAME?</v>
      </c>
    </row>
    <row r="23" spans="1:41" x14ac:dyDescent="0.2">
      <c r="A23" t="e">
        <f ca="1">MATCH(E23,ORÇAMENTO!$E$15:$E$27,0)-1</f>
        <v>#N/A</v>
      </c>
      <c r="B23" t="e">
        <f ca="1">IF(ISERROR($A23),NA(),OFFSET(ORÇAMENTO!$D$15,$A23,0))</f>
        <v>#N/A</v>
      </c>
      <c r="C23" t="str">
        <f ca="1">QCI!B23</f>
        <v>Branco</v>
      </c>
      <c r="D23" t="str">
        <f ca="1">IF(L23&gt;0,"F","")</f>
        <v/>
      </c>
      <c r="E23" s="282">
        <f>QCI!D23</f>
        <v>10</v>
      </c>
      <c r="F23" s="363" t="str">
        <f ca="1">QCI!G23</f>
        <v/>
      </c>
      <c r="G23" s="364">
        <f>QCI!H23</f>
        <v>0</v>
      </c>
      <c r="H23" s="283">
        <f>QCI!I23</f>
        <v>0</v>
      </c>
      <c r="I23" s="283" t="str">
        <f ca="1">QCI!J23</f>
        <v/>
      </c>
      <c r="J23" s="365" t="str">
        <f ca="1">QCI!K23</f>
        <v/>
      </c>
      <c r="K23" s="366" t="e">
        <f ca="1">_xlfn.SINGLE(IF($C23="Automático",IF(_xlfn.SINGLE(ACOMPANHAMENTO)="BM",BM.medicao,PLE.Medicao),IF(ISBLANK($X23),"",$X23)))</f>
        <v>#NAME?</v>
      </c>
      <c r="L23" s="287">
        <f ca="1">QCI!$O23</f>
        <v>0</v>
      </c>
      <c r="M23" s="284">
        <f ca="1">ROUND(IF(C23="Automático",AE23+AL23,Y23),2)</f>
        <v>0</v>
      </c>
      <c r="N23" s="285">
        <f ca="1">O23-M23</f>
        <v>0</v>
      </c>
      <c r="O23" s="286">
        <f ca="1">ROUND(IF(C23="Automático",AH23+AO23,Z23),2)</f>
        <v>0</v>
      </c>
      <c r="P23" s="368">
        <f ca="1">O23/(L23+10^-12)</f>
        <v>0</v>
      </c>
      <c r="R23" s="367">
        <f ca="1">ROUND(IF($C23="Automático",AC23+AJ23,$Y23*IF(ISERROR(QCI!$AA23/QCI!$O23),0,QCI!$AA23/QCI!$O23)),2)</f>
        <v>0</v>
      </c>
      <c r="S23" s="367">
        <f ca="1">ROUND(IF($C23="Automático",AD23+AK23,$Y23*IF(ISERROR(QCI!$AB23/QCI!$O23),0,QCI!$AB23/QCI!$O23)),2)</f>
        <v>0</v>
      </c>
      <c r="T23" s="367">
        <f ca="1">ROUND(IF($C23="Automático",AF23+AM23,$Z23*IF(ISERROR(QCI!$AA23/QCI!$O23),0,QCI!$AA23/QCI!$O23)),2)</f>
        <v>0</v>
      </c>
      <c r="U23" s="367">
        <f ca="1">ROUND(IF($C23="Automático",AG23+AN23,$Z23*IF(ISERROR(QCI!$AB23/QCI!$O23),0,QCI!$AB23/QCI!$O23)),2)</f>
        <v>0</v>
      </c>
      <c r="V23" s="450">
        <f ca="1">IF(AND($L23&gt;0,$J23&lt;&gt;0,$J23&lt;&gt;"",COUNTIF($J$13:$J23,$J23)=1),OFFSET(V23,-1,0)+1,OFFSET(V23,-1,0))</f>
        <v>0</v>
      </c>
      <c r="X23" s="514"/>
      <c r="Y23" s="288"/>
      <c r="Z23" s="289"/>
      <c r="AC23" s="184" t="e">
        <f ca="1">IF(_xlfn.SINGLE(ACOMPANHAMENTO)&lt;&gt;"PLE",0,SUMPRODUCT((OFFSET(CÁLCULO!$AX$15:$BH$15,$A23,0,$B23)&lt;=(PLE.Medicao-1))*OFFSET(CÁLCULO!$AB$15:$AL$15,$A23,0,$B23)*OFFSET(ORÇAMENTO!$AA$15,$A23,0,$B23)/(OFFSET(ORÇAMENTO!$X$15,$A23,0,$B23)+10^-12))+IF(AUTOEVENTO="Manual",SUMPRODUCT((OFFSET(CÁLCULO!$M$15,$A23,0,$B23)=1)*OFFSET(ORÇAMENTO!$AA$15,$A23,0,$B23)*(PLE!$AE$9-PLE!$Y$9)),0))</f>
        <v>#NAME?</v>
      </c>
      <c r="AD23" s="184" t="e">
        <f ca="1">IF(_xlfn.SINGLE(ACOMPANHAMENTO)&lt;&gt;"PLE",0,SUMPRODUCT((OFFSET(CÁLCULO!$AX$15:$BH$15,$A23,0,$B23)&lt;=(PLE.Medicao-1))*OFFSET(CÁLCULO!$AB$15:$AL$15,$A23,0,$B23)*OFFSET(ORÇAMENTO!$AB$15,$A23,0,$B23)/(OFFSET(ORÇAMENTO!$X$15,$A23,0,$B23)+10^-12))+IF(AUTOEVENTO="Manual",SUMPRODUCT((OFFSET(CÁLCULO!$M$15,$A23,0,$B23)=1)*OFFSET(ORÇAMENTO!$AB$15,$A23,0,$B23)*(PLE!$AE$9-PLE!$Y$9)),0))</f>
        <v>#NAME?</v>
      </c>
      <c r="AE23" s="184" t="e">
        <f ca="1">ROUND(IF(_xlfn.SINGLE(ACOMPANHAMENTO)&lt;&gt;"PLE",0,SUMIF(OFFSET(CÁLCULO!$AX$15:$BH$15,$A23,0,$B23),"&lt;="&amp;(PLE.Medicao-1),OFFSET(CÁLCULO!$AB$15:$AL$15,$A23,0,$B23))+IF(AUTOEVENTO="Manual",SUMIF(OFFSET(CÁLCULO!$M$15,$A23,0,$B23),1,OFFSET(ORÇAMENTO!$X$15,$A23,0,$B23))*(PLE!$AE$9-PLE!$Y$9),0)),2)</f>
        <v>#NAME?</v>
      </c>
      <c r="AF23" s="184" t="e">
        <f ca="1">IF(_xlfn.SINGLE(ACOMPANHAMENTO)&lt;&gt;"PLE",0,SUMPRODUCT((OFFSET(CÁLCULO!$AX$15:$BH$15,$A23,0,$B23)&lt;=PLE.Medicao)*OFFSET(CÁLCULO!$AB$15:$AL$15,$A23,0,$B23)*OFFSET(ORÇAMENTO!$AA$15,$A23,0,$B23)/(OFFSET(ORÇAMENTO!$X$15,$A23,0,$B23)+10^-12))+IF(AUTOEVENTO="Manual",SUMPRODUCT((OFFSET(CÁLCULO!$M$15,$A23,0,$B23)=1)*OFFSET(ORÇAMENTO!$AA$15,$A23,0,$B23)*PLE!$AE$9),0))</f>
        <v>#NAME?</v>
      </c>
      <c r="AG23" s="184" t="e">
        <f ca="1">IF(_xlfn.SINGLE(ACOMPANHAMENTO)&lt;&gt;"PLE",0,SUMPRODUCT((OFFSET(CÁLCULO!$AX$15:$BH$15,$A23,0,$B23)&lt;=PLE.Medicao)*OFFSET(CÁLCULO!$AB$15:$AL$15,$A23,0,$B23)*OFFSET(ORÇAMENTO!$AB$15,$A23,0,$B23)/(OFFSET(ORÇAMENTO!$X$15,$A23,0,$B23)+10^-12))+IF(AUTOEVENTO="Manual",SUMPRODUCT((OFFSET(CÁLCULO!$M$15,$A23,0,$B23)=1)*OFFSET(ORÇAMENTO!$AB$15,$A23,0,$B23)*PLE!$AE$9),0))</f>
        <v>#NAME?</v>
      </c>
      <c r="AH23" s="184" t="e">
        <f ca="1">ROUND(IF(_xlfn.SINGLE(ACOMPANHAMENTO)&lt;&gt;"PLE",0,SUMIF(OFFSET(CÁLCULO!$AX$15:$BH$15,$A23,0,$B23),"&lt;="&amp;PLE.Medicao,OFFSET(CÁLCULO!$AB$15:$AL$15,$A23,0,$B23))+IF(AUTOEVENTO="Manual",SUMIF(OFFSET(CÁLCULO!$M$15,$A23,0,$B23),1,OFFSET(ORÇAMENTO!$X$15,$A23,0,$B23))*PLE!$AE$9,0)),2)</f>
        <v>#NAME?</v>
      </c>
      <c r="AJ23" s="184" t="e">
        <f ca="1">IF(_xlfn.SINGLE(ACOMPANHAMENTO)&lt;&gt;"BM",0,SUMPRODUCT(OFFSET(BM!$M$15,$A23,0,$B23)*(OFFSET(BM!$A$15,$A23,0,$B23)="S")*OFFSET(ORÇAMENTO!AA$15,$A23,0,$B23)/(OFFSET(ORÇAMENTO!$X$15,$A23,0,$B23)+10^-12)))</f>
        <v>#NAME?</v>
      </c>
      <c r="AK23" s="184" t="e">
        <f ca="1">IF(_xlfn.SINGLE(ACOMPANHAMENTO)&lt;&gt;"BM",0,SUMPRODUCT(OFFSET(BM!$M$15,$A23,0,$B23)*(OFFSET(BM!$A$15,$A23,0,$B23)="S")*OFFSET(ORÇAMENTO!AB$15,$A23,0,$B23)/(OFFSET(ORÇAMENTO!$X$15,$A23,0,$B23)+10^-12)))</f>
        <v>#NAME?</v>
      </c>
      <c r="AL23" s="184" t="e">
        <f ca="1">IF(_xlfn.SINGLE(ACOMPANHAMENTO)&lt;&gt;"BM",0,OFFSET(BM!$M$15,$A23,0))</f>
        <v>#NAME?</v>
      </c>
      <c r="AM23" s="184" t="e">
        <f ca="1">IF(_xlfn.SINGLE(ACOMPANHAMENTO)&lt;&gt;"BM",0,SUMPRODUCT(OFFSET(BM!$O$15,$A23,0,$B23)*(OFFSET(BM!$A$15,$A23,0,$B23)="S")*OFFSET(ORÇAMENTO!AA$15,$A23,0,$B23)/(OFFSET(ORÇAMENTO!$X$15,$A23,0,$B23)+10^-12)))</f>
        <v>#NAME?</v>
      </c>
      <c r="AN23" s="184" t="e">
        <f ca="1">IF(_xlfn.SINGLE(ACOMPANHAMENTO)&lt;&gt;"BM",0,SUMPRODUCT(OFFSET(BM!$O$15,$A23,0,$B23)*(OFFSET(BM!$A$15,$A23,0,$B23)="S")*OFFSET(ORÇAMENTO!AB$15,$A23,0,$B23)/(OFFSET(ORÇAMENTO!$X$15,$A23,0,$B23)+10^-12)))</f>
        <v>#NAME?</v>
      </c>
      <c r="AO23" s="184" t="e">
        <f ca="1">IF(_xlfn.SINGLE(ACOMPANHAMENTO)&lt;&gt;"BM",0,OFFSET(BM!$O$15,$A23,0))</f>
        <v>#NAME?</v>
      </c>
    </row>
    <row r="24" spans="1:41" ht="12.95" customHeight="1" x14ac:dyDescent="0.2">
      <c r="D24" t="s">
        <v>538</v>
      </c>
      <c r="E24" s="1"/>
      <c r="F24" s="1"/>
      <c r="G24" s="1"/>
      <c r="H24" s="1"/>
      <c r="I24" s="2"/>
      <c r="J24" s="815" t="s">
        <v>894</v>
      </c>
      <c r="K24" s="816"/>
      <c r="L24" s="370">
        <f ca="1">IF(ISERROR(L28/$L28),0,ROUND(L28/$L28,4))</f>
        <v>0</v>
      </c>
      <c r="M24" s="372">
        <f ca="1">IF(ISERROR(M28/$L28),0,ROUND(M28/$L28,4))</f>
        <v>0</v>
      </c>
      <c r="N24" s="371">
        <f ca="1">IF(ISERROR(N28/$L28),0,ROUND(N28/$L28,4))</f>
        <v>0</v>
      </c>
      <c r="O24" s="373">
        <f ca="1">IF(ISERROR(O28/$L28),0,ROUND(O28/$L28,4))</f>
        <v>0</v>
      </c>
      <c r="P24" s="817" t="e">
        <f ca="1">O28/(L28+10^-12)</f>
        <v>#NAME?</v>
      </c>
      <c r="X24" s="303"/>
      <c r="Y24" s="305"/>
      <c r="Z24" s="306"/>
    </row>
    <row r="25" spans="1:41" ht="12.95" customHeight="1" x14ac:dyDescent="0.2">
      <c r="D25" t="s">
        <v>538</v>
      </c>
      <c r="I25" s="4"/>
      <c r="J25" s="818" t="str">
        <f>IF(import.recurso="FGTS","Financiamento","Repasse")</f>
        <v>Repasse</v>
      </c>
      <c r="K25" s="819"/>
      <c r="L25" s="287">
        <f ca="1">QCI!L24</f>
        <v>0</v>
      </c>
      <c r="M25" s="284" t="e">
        <f ca="1">M28-M27-M26</f>
        <v>#NAME?</v>
      </c>
      <c r="N25" s="285" t="e">
        <f ca="1">O25-M25</f>
        <v>#NAME?</v>
      </c>
      <c r="O25" s="286" t="e">
        <f ca="1">O28-O27-O26</f>
        <v>#NAME?</v>
      </c>
      <c r="P25" s="817"/>
      <c r="X25" s="374"/>
      <c r="Y25" s="375" t="s">
        <v>895</v>
      </c>
      <c r="Z25" s="376" t="s">
        <v>896</v>
      </c>
      <c r="AC25" s="377" t="s">
        <v>897</v>
      </c>
      <c r="AD25" s="377" t="s">
        <v>898</v>
      </c>
    </row>
    <row r="26" spans="1:41" ht="12.95" customHeight="1" x14ac:dyDescent="0.2">
      <c r="D26" t="s">
        <v>538</v>
      </c>
      <c r="I26" s="4"/>
      <c r="J26" s="820" t="s">
        <v>899</v>
      </c>
      <c r="K26" s="821"/>
      <c r="L26" s="378">
        <f ca="1">QCI!M24</f>
        <v>0</v>
      </c>
      <c r="M26" s="379" t="e">
        <f ca="1">ROUND(IF(OFFSET($X$26,0,1)&lt;&gt;"",OFFSET($X$26,0,1),SUM(R13:OFFSET(R24,-1,0))),2)</f>
        <v>#NAME?</v>
      </c>
      <c r="N26" s="380" t="e">
        <f ca="1">O26-M26</f>
        <v>#NAME?</v>
      </c>
      <c r="O26" s="381" t="e">
        <f ca="1">IF(OFFSET($X$26,0,2)&lt;&gt;"",OFFSET($X$26,0,2),$AE$3)</f>
        <v>#NAME?</v>
      </c>
      <c r="P26" s="817"/>
      <c r="X26" s="382" t="s">
        <v>458</v>
      </c>
      <c r="Y26" s="445"/>
      <c r="Z26" s="446"/>
      <c r="AC26" s="383" t="e">
        <f ca="1">MIN($L26,$O$28-OFFSET($X$27,0,1))</f>
        <v>#NAME?</v>
      </c>
      <c r="AD26" s="383" t="e">
        <f ca="1">MIN($L26,$O$28-OFFSET($X$27,0,2))</f>
        <v>#NAME?</v>
      </c>
    </row>
    <row r="27" spans="1:41" ht="12.95" customHeight="1" x14ac:dyDescent="0.2">
      <c r="D27" t="s">
        <v>538</v>
      </c>
      <c r="I27" s="4"/>
      <c r="J27" s="822" t="s">
        <v>876</v>
      </c>
      <c r="K27" s="823"/>
      <c r="L27" s="384">
        <f ca="1">QCI!N24</f>
        <v>0</v>
      </c>
      <c r="M27" s="385" t="e">
        <f ca="1">ROUND(IF(OFFSET($X$27,0,1)&lt;&gt;"",OFFSET($X$27,0,1),SUM(S13:OFFSET(S24,-1,0))),2)</f>
        <v>#NAME?</v>
      </c>
      <c r="N27" s="386" t="e">
        <f ca="1">O27-M27</f>
        <v>#NAME?</v>
      </c>
      <c r="O27" s="387" t="e">
        <f ca="1">IF(OFFSET($X$27,0,2)&lt;&gt;"",OFFSET($X$27,0,2),$AE$4)</f>
        <v>#NAME?</v>
      </c>
      <c r="P27" s="817"/>
      <c r="X27" s="388" t="s">
        <v>799</v>
      </c>
      <c r="Y27" s="447"/>
      <c r="Z27" s="448"/>
      <c r="AC27" s="383" t="e">
        <f ca="1">MIN($L27,$O$28-OFFSET($X$26,0,1))</f>
        <v>#NAME?</v>
      </c>
      <c r="AD27" s="383" t="e">
        <f ca="1">MIN($L27,$O$28-OFFSET($X$26,0,2))</f>
        <v>#NAME?</v>
      </c>
    </row>
    <row r="28" spans="1:41" ht="15" x14ac:dyDescent="0.2">
      <c r="D28" t="s">
        <v>538</v>
      </c>
      <c r="I28" s="4"/>
      <c r="J28" s="824" t="s">
        <v>878</v>
      </c>
      <c r="K28" s="825"/>
      <c r="L28" s="389">
        <f ca="1">SUM(L13:OFFSET(L24,-1,0))</f>
        <v>0</v>
      </c>
      <c r="M28" s="657" t="e">
        <f ca="1">ROUND(SUM(M13:OFFSET(M24,-1,0)),2)</f>
        <v>#NAME?</v>
      </c>
      <c r="N28" s="658" t="e">
        <f ca="1">O28-M28</f>
        <v>#NAME?</v>
      </c>
      <c r="O28" s="390" t="e">
        <f ca="1">SUM(O13:OFFSET(O24,-1,0))</f>
        <v>#NAME?</v>
      </c>
      <c r="P28" s="817"/>
      <c r="X28" s="315"/>
      <c r="Y28" s="317"/>
      <c r="Z28" s="318"/>
    </row>
    <row r="29" spans="1:41" x14ac:dyDescent="0.2">
      <c r="O29" s="826" t="e">
        <f ca="1">"Acumulado Anterior:  "&amp;TEXT($M$28/($L$28+10^-12),"0,00%")</f>
        <v>#NAME?</v>
      </c>
      <c r="P29" s="826"/>
    </row>
    <row r="30" spans="1:41" ht="14.25" x14ac:dyDescent="0.2">
      <c r="E30" s="136" t="s">
        <v>692</v>
      </c>
      <c r="P30" s="415"/>
    </row>
    <row r="31" spans="1:41" ht="12.75" customHeight="1" x14ac:dyDescent="0.2">
      <c r="E31" s="809"/>
      <c r="F31" s="810"/>
      <c r="G31" s="810"/>
      <c r="H31" s="810"/>
      <c r="I31" s="810"/>
      <c r="J31" s="810"/>
      <c r="K31" s="810"/>
      <c r="L31" s="810"/>
      <c r="M31" s="810"/>
      <c r="N31" s="810"/>
      <c r="O31" s="810"/>
      <c r="P31" s="811"/>
    </row>
    <row r="32" spans="1:41" ht="12.75" customHeight="1" x14ac:dyDescent="0.2">
      <c r="E32" s="809"/>
      <c r="F32" s="810"/>
      <c r="G32" s="810"/>
      <c r="H32" s="810"/>
      <c r="I32" s="810"/>
      <c r="J32" s="810"/>
      <c r="K32" s="810"/>
      <c r="L32" s="810"/>
      <c r="M32" s="810"/>
      <c r="N32" s="810"/>
      <c r="O32" s="810"/>
      <c r="P32" s="811"/>
      <c r="Y32" s="391"/>
      <c r="Z32" s="391"/>
    </row>
    <row r="33" spans="5:16" ht="12.75" customHeight="1" x14ac:dyDescent="0.2">
      <c r="E33" s="812"/>
      <c r="F33" s="813"/>
      <c r="G33" s="813"/>
      <c r="H33" s="813"/>
      <c r="I33" s="813"/>
      <c r="J33" s="813"/>
      <c r="K33" s="813"/>
      <c r="L33" s="813"/>
      <c r="M33" s="813"/>
      <c r="N33" s="813"/>
      <c r="O33" s="813"/>
      <c r="P33" s="814"/>
    </row>
    <row r="34" spans="5:16" x14ac:dyDescent="0.2">
      <c r="L34" s="577" t="str">
        <f>IF(L35=0,"Preencher a data de fechamento do RRE na aba DADOS (célula "&amp;ADDRESS(ROW(Import.DataFechaRRE),COLUMN(Import.DataFechaRRE),4)&amp;")","")</f>
        <v>Preencher a data de fechamento do RRE na aba DADOS (célula C48)</v>
      </c>
    </row>
    <row r="35" spans="5:16" ht="15" x14ac:dyDescent="0.2">
      <c r="E35" s="713" t="str">
        <f>Import.Município</f>
        <v>CAÇAPAVA DO SUL/RS</v>
      </c>
      <c r="F35" s="713"/>
      <c r="G35" s="713"/>
      <c r="I35" s="392"/>
      <c r="K35" s="591"/>
      <c r="L35" s="757">
        <f>DADOS!$C$48</f>
        <v>0</v>
      </c>
      <c r="M35" s="757"/>
      <c r="N35" s="757"/>
      <c r="O35" s="757"/>
    </row>
    <row r="36" spans="5:16" x14ac:dyDescent="0.2">
      <c r="E36" s="9" t="s">
        <v>696</v>
      </c>
      <c r="L36" s="9" t="s">
        <v>697</v>
      </c>
    </row>
    <row r="38" spans="5:16" x14ac:dyDescent="0.2">
      <c r="E38" s="181"/>
      <c r="F38" s="181"/>
      <c r="G38" s="181"/>
      <c r="L38" s="181"/>
      <c r="M38" s="181"/>
      <c r="N38" s="181"/>
      <c r="O38" s="181"/>
    </row>
    <row r="39" spans="5:16" x14ac:dyDescent="0.2">
      <c r="E39" s="393" t="str">
        <f>IF(CAIXA.Modo,"Responsável Gerencial CAIXA","Representante Tomador")</f>
        <v>Representante Tomador</v>
      </c>
      <c r="F39" s="7"/>
      <c r="L39" s="393" t="str">
        <f>IF(CAIXA.Modo,"Responsável Técnico CAIXA","Responsável Técnico pela Fiscalização")</f>
        <v>Responsável Técnico pela Fiscalização</v>
      </c>
    </row>
    <row r="40" spans="5:16" x14ac:dyDescent="0.2">
      <c r="E40" s="77" t="s">
        <v>241</v>
      </c>
      <c r="F40" s="272" t="str">
        <f>IF(CAIXA.Modo,DADOS!C60,DADOS!C28)</f>
        <v>Marcelo C. Spode</v>
      </c>
      <c r="L40" s="77" t="s">
        <v>241</v>
      </c>
      <c r="M40" s="795">
        <f>IF(CAIXA.Modo,BM!X39,DADOS!C51)</f>
        <v>0</v>
      </c>
      <c r="N40" s="795"/>
      <c r="O40" s="795"/>
    </row>
    <row r="41" spans="5:16" x14ac:dyDescent="0.2">
      <c r="E41" s="77" t="str">
        <f>IF(CAIXA.Modo,"Função:","Cargo:")</f>
        <v>Cargo:</v>
      </c>
      <c r="F41" s="272" t="str">
        <f>IF(CAIXA.Modo,DADOS!C61,DADOS!C29)</f>
        <v>Prefeito Municipal</v>
      </c>
      <c r="L41" s="77" t="str">
        <f>IF(CAIXA.Modo,"Matrícula:","Profissão:")</f>
        <v>Profissão:</v>
      </c>
      <c r="M41" s="795">
        <f>IF(CAIXA.Modo,BM!X40,DADOS!C52)</f>
        <v>0</v>
      </c>
      <c r="N41" s="795"/>
      <c r="O41" s="795"/>
    </row>
    <row r="42" spans="5:16" x14ac:dyDescent="0.2">
      <c r="L42" s="77" t="s">
        <v>244</v>
      </c>
      <c r="M42" s="795">
        <f>IF(CAIXA.Modo,BM!X41,DADOS!C53)</f>
        <v>0</v>
      </c>
      <c r="N42" s="795"/>
      <c r="O42" s="795"/>
    </row>
    <row r="43" spans="5:16" x14ac:dyDescent="0.2">
      <c r="L43" s="77" t="str">
        <f>IF(CAIXA.Modo,"","ART/RRT:")</f>
        <v>ART/RRT:</v>
      </c>
      <c r="M43" s="12">
        <f>IF(CAIXA.Modo,"",DADOS!C54)</f>
        <v>0</v>
      </c>
    </row>
    <row r="45" spans="5:16" x14ac:dyDescent="0.2">
      <c r="E45" s="181"/>
      <c r="F45" s="181"/>
      <c r="G45" s="181"/>
      <c r="L45" s="181"/>
      <c r="M45" s="181"/>
      <c r="N45" s="181"/>
      <c r="O45" s="181"/>
    </row>
    <row r="46" spans="5:16" x14ac:dyDescent="0.2">
      <c r="E46" t="str">
        <f>IF(CAIXA.Modo,"Responsável Social CAIXA","Responsável Social")</f>
        <v>Responsável Social</v>
      </c>
      <c r="L46" t="str">
        <f>IF(CAIXA.Modo,"Responsável Operacional CAIXA","Responsável Financeiro")</f>
        <v>Responsável Financeiro</v>
      </c>
    </row>
    <row r="47" spans="5:16" x14ac:dyDescent="0.2">
      <c r="E47" s="77" t="s">
        <v>241</v>
      </c>
      <c r="F47" s="794"/>
      <c r="G47" s="794"/>
      <c r="L47" s="77" t="s">
        <v>241</v>
      </c>
      <c r="M47" s="794"/>
      <c r="N47" s="794"/>
      <c r="O47" s="794"/>
    </row>
    <row r="48" spans="5:16" x14ac:dyDescent="0.2">
      <c r="E48" s="77" t="str">
        <f>IF(CAIXA.Modo,"Função:","Cargo:")</f>
        <v>Cargo:</v>
      </c>
      <c r="F48" s="794"/>
      <c r="G48" s="794"/>
      <c r="L48" s="77" t="str">
        <f>IF(CAIXA.Modo,"Função:","Cargo:")</f>
        <v>Cargo:</v>
      </c>
      <c r="M48" s="794"/>
      <c r="N48" s="794"/>
      <c r="O48" s="794"/>
    </row>
    <row r="49" spans="5:15" x14ac:dyDescent="0.2">
      <c r="E49" s="77" t="str">
        <f>IF(CAIXA.Modo,"Matr:","")</f>
        <v/>
      </c>
      <c r="F49" s="794"/>
      <c r="G49" s="794"/>
      <c r="L49" s="77" t="str">
        <f>IF(CAIXA.Modo,"Matrícula:","")</f>
        <v/>
      </c>
      <c r="M49" s="794"/>
      <c r="N49" s="794"/>
      <c r="O49" s="794"/>
    </row>
  </sheetData>
  <sheetProtection password="BD1F" sheet="1" objects="1" scenarios="1" autoFilter="0"/>
  <autoFilter ref="D13:D30"/>
  <mergeCells count="40">
    <mergeCell ref="E6:H6"/>
    <mergeCell ref="I6:L6"/>
    <mergeCell ref="E3:H3"/>
    <mergeCell ref="I3:K3"/>
    <mergeCell ref="E4:H4"/>
    <mergeCell ref="I4:K4"/>
    <mergeCell ref="D7:D11"/>
    <mergeCell ref="E7:H7"/>
    <mergeCell ref="I7:L7"/>
    <mergeCell ref="G9:H9"/>
    <mergeCell ref="I9:J9"/>
    <mergeCell ref="L9:L10"/>
    <mergeCell ref="G10:H10"/>
    <mergeCell ref="AJ10:AO10"/>
    <mergeCell ref="Y11:Z11"/>
    <mergeCell ref="AC11:AE11"/>
    <mergeCell ref="AF11:AH11"/>
    <mergeCell ref="AJ11:AL11"/>
    <mergeCell ref="AM11:AO11"/>
    <mergeCell ref="J27:K27"/>
    <mergeCell ref="J28:K28"/>
    <mergeCell ref="O29:P29"/>
    <mergeCell ref="M48:O48"/>
    <mergeCell ref="AC10:AH10"/>
    <mergeCell ref="M4:O4"/>
    <mergeCell ref="M49:O49"/>
    <mergeCell ref="E31:P33"/>
    <mergeCell ref="L35:O35"/>
    <mergeCell ref="M40:O40"/>
    <mergeCell ref="M41:O41"/>
    <mergeCell ref="M42:O42"/>
    <mergeCell ref="M47:O47"/>
    <mergeCell ref="F49:G49"/>
    <mergeCell ref="E35:G35"/>
    <mergeCell ref="F47:G47"/>
    <mergeCell ref="F48:G48"/>
    <mergeCell ref="J24:K24"/>
    <mergeCell ref="P24:P28"/>
    <mergeCell ref="J25:K25"/>
    <mergeCell ref="J26:K26"/>
  </mergeCells>
  <phoneticPr fontId="38" type="noConversion"/>
  <conditionalFormatting sqref="X12:Z12">
    <cfRule type="expression" dxfId="47" priority="340" stopIfTrue="1">
      <formula>OR($C12="Automático",$C12="Branco")</formula>
    </cfRule>
  </conditionalFormatting>
  <conditionalFormatting sqref="F49:G49 M49:O49">
    <cfRule type="expression" dxfId="46" priority="341" stopIfTrue="1">
      <formula>CAIXA.Modo=FALSE</formula>
    </cfRule>
  </conditionalFormatting>
  <conditionalFormatting sqref="M12 M25:M28 O12 O25:O28">
    <cfRule type="cellIs" dxfId="45" priority="342" stopIfTrue="1" operator="notBetween">
      <formula>0</formula>
      <formula>$L12</formula>
    </cfRule>
  </conditionalFormatting>
  <conditionalFormatting sqref="M10:N10">
    <cfRule type="cellIs" dxfId="44" priority="343" stopIfTrue="1" operator="lessThan">
      <formula>0</formula>
    </cfRule>
  </conditionalFormatting>
  <conditionalFormatting sqref="X14:Z22">
    <cfRule type="expression" dxfId="43" priority="3" stopIfTrue="1">
      <formula>OR($C14="Automático",$C14="Branco")</formula>
    </cfRule>
  </conditionalFormatting>
  <conditionalFormatting sqref="M14:M22 O14:O22">
    <cfRule type="cellIs" dxfId="42" priority="4" stopIfTrue="1" operator="notBetween">
      <formula>0</formula>
      <formula>$L14</formula>
    </cfRule>
  </conditionalFormatting>
  <conditionalFormatting sqref="X23:Z23">
    <cfRule type="expression" dxfId="41" priority="1" stopIfTrue="1">
      <formula>OR($C23="Automático",$C23="Branco")</formula>
    </cfRule>
  </conditionalFormatting>
  <conditionalFormatting sqref="M23 O23">
    <cfRule type="cellIs" dxfId="40" priority="2" stopIfTrue="1" operator="notBetween">
      <formula>0</formula>
      <formula>$L23</formula>
    </cfRule>
  </conditionalFormatting>
  <dataValidations disablePrompts="1" count="5">
    <dataValidation type="decimal" errorStyle="warning" allowBlank="1" showInputMessage="1" showErrorMessage="1" errorTitle="Erro de valor" error="Valor menor que 0,00 ou maior que o valor da Contrapartida/Outros." promptTitle="Contrapartida Anterior:" prompt="Deixe essa célula em branco para o cálculo automático. Preencha somente para valores de CP diferentes do previsto." sqref="Y26">
      <formula1>0</formula1>
      <formula2>RRE.MaxCPAnt</formula2>
    </dataValidation>
    <dataValidation type="decimal" errorStyle="warning" allowBlank="1" showInputMessage="1" showErrorMessage="1" errorTitle="Erro de valor" error="Valor menor que 0,00 ou maior que o valor da Contrapartida/Outros." promptTitle="Contrapartida Acumulada:" prompt="Deixe essa célula em branco para o cálculo automático. Preencha somente para valores de CP diferentes do previsto." sqref="Z26">
      <formula1>0</formula1>
      <formula2>RRE.MaxCPAcum</formula2>
    </dataValidation>
    <dataValidation type="decimal" errorStyle="warning" allowBlank="1" showInputMessage="1" showErrorMessage="1" errorTitle="Erro de valor" error="Valor menor que 0,00 ou maior que o valor da Contrapartida/Outros." promptTitle="Outros Anterior:" prompt="Deixe essa célula em branco para o cálculo automático. Preencha somente para valores de Outros diferentes do previsto." sqref="Y27">
      <formula1>0</formula1>
      <formula2>RRE.MaxOUAnt</formula2>
    </dataValidation>
    <dataValidation type="decimal" errorStyle="warning" allowBlank="1" showInputMessage="1" showErrorMessage="1" errorTitle="Erro de valor" error="Valor menor que 0,00 ou maior que o valor da Contrapartida/Outros." promptTitle="Outros Acumulada:" prompt="Deixe essa célula em branco para o cálculo automático. Preencha somente para valores de Outros diferentes do previsto." sqref="Z27">
      <formula1>0</formula1>
      <formula2>RRE.MaxOUAcum</formula2>
    </dataValidation>
    <dataValidation type="decimal" allowBlank="1" showInputMessage="1" showErrorMessage="1" sqref="Y12:Z12 Y14:Z23">
      <formula1>0</formula1>
      <formula2>RRE.VIMeta</formula2>
    </dataValidation>
  </dataValidations>
  <pageMargins left="0.78740157480314998" right="0.78740157480314998" top="0.78740157480314998" bottom="0.78740157480314998" header="0.59055118110236204" footer="0.59055118110236204"/>
  <pageSetup paperSize="9" scale="70" firstPageNumber="0" fitToHeight="0" orientation="landscape" horizontalDpi="300" verticalDpi="300" r:id="rId1"/>
  <headerFooter alignWithMargins="0">
    <oddHeader>&amp;L_&amp;C&amp;14I</oddHeader>
    <oddFooter>&amp;LPMv3.10&amp;R&amp;P / &amp;N</oddFooter>
  </headerFooter>
  <colBreaks count="1" manualBreakCount="1">
    <brk id="15" max="1048575" man="1"/>
  </colBreaks>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12"/>
  <dimension ref="B1:M56"/>
  <sheetViews>
    <sheetView showGridLines="0" zoomScaleNormal="100" zoomScaleSheetLayoutView="100" workbookViewId="0"/>
  </sheetViews>
  <sheetFormatPr defaultRowHeight="12.75" x14ac:dyDescent="0.2"/>
  <cols>
    <col min="1" max="1" width="2" customWidth="1"/>
    <col min="2" max="2" width="15.5703125" customWidth="1"/>
    <col min="3" max="3" width="6.5703125" customWidth="1"/>
    <col min="4" max="5" width="20.5703125" customWidth="1"/>
    <col min="6" max="6" width="8.5703125" customWidth="1"/>
    <col min="7" max="7" width="12.5703125" customWidth="1"/>
    <col min="8" max="8" width="20.5703125" customWidth="1"/>
    <col min="10" max="10" width="14.140625" customWidth="1"/>
  </cols>
  <sheetData>
    <row r="1" spans="2:13" x14ac:dyDescent="0.2">
      <c r="B1" s="851"/>
      <c r="C1" s="851"/>
      <c r="D1" s="49"/>
      <c r="E1" s="49"/>
      <c r="F1" s="49"/>
      <c r="G1" s="52" t="s">
        <v>646</v>
      </c>
    </row>
    <row r="2" spans="2:13" x14ac:dyDescent="0.2">
      <c r="B2" s="851"/>
      <c r="C2" s="851"/>
      <c r="D2" s="49"/>
      <c r="E2" s="49"/>
      <c r="F2" s="49"/>
      <c r="G2" s="11" t="s">
        <v>900</v>
      </c>
    </row>
    <row r="3" spans="2:13" ht="26.1" customHeight="1" x14ac:dyDescent="0.2">
      <c r="B3" s="851"/>
      <c r="C3" s="851"/>
      <c r="D3" s="49"/>
      <c r="E3" s="49"/>
      <c r="F3" s="49"/>
      <c r="G3" s="394"/>
    </row>
    <row r="4" spans="2:13" ht="12.75" customHeight="1" x14ac:dyDescent="0.2">
      <c r="B4" s="851"/>
      <c r="C4" s="851"/>
      <c r="D4" s="49"/>
      <c r="E4" s="49"/>
      <c r="F4" s="49"/>
      <c r="G4" s="49"/>
    </row>
    <row r="5" spans="2:13" x14ac:dyDescent="0.2">
      <c r="C5" s="577" t="str">
        <f>IF(Import.Ofício.Num=0,"Preencher o número do Ofício","")</f>
        <v>Preencher o número do Ofício</v>
      </c>
    </row>
    <row r="6" spans="2:13" x14ac:dyDescent="0.2">
      <c r="B6" s="395" t="s">
        <v>901</v>
      </c>
      <c r="C6" s="849"/>
      <c r="D6" s="849"/>
      <c r="E6" s="395"/>
      <c r="F6" s="395"/>
      <c r="G6" s="49"/>
      <c r="J6" s="9"/>
    </row>
    <row r="7" spans="2:13" x14ac:dyDescent="0.2">
      <c r="B7" s="49"/>
      <c r="C7" s="49"/>
      <c r="D7" s="49"/>
      <c r="E7" s="49"/>
      <c r="F7" s="49"/>
      <c r="G7" s="49"/>
    </row>
    <row r="8" spans="2:13" x14ac:dyDescent="0.2">
      <c r="B8" s="850" t="str">
        <f>CONCATENATE(RRE!$E$35,", ",TEXT(RRE!$L$35,"dd"" de ""mmmm"" de ""aaaa"))</f>
        <v>CAÇAPAVA DO SUL/RS, 00 de janeiro de 1900</v>
      </c>
      <c r="C8" s="850"/>
      <c r="D8" s="850"/>
      <c r="E8" s="850"/>
      <c r="F8" s="850"/>
      <c r="G8" s="850"/>
      <c r="H8" s="396"/>
      <c r="J8" s="396"/>
      <c r="K8" s="396"/>
      <c r="L8" s="396"/>
      <c r="M8" s="396"/>
    </row>
    <row r="9" spans="2:13" x14ac:dyDescent="0.2">
      <c r="B9" s="397" t="s">
        <v>902</v>
      </c>
      <c r="C9" s="49"/>
      <c r="D9" s="49"/>
      <c r="G9" s="49"/>
      <c r="H9" s="396"/>
      <c r="J9" s="396"/>
      <c r="K9" s="396"/>
      <c r="L9" s="396"/>
      <c r="M9" s="396"/>
    </row>
    <row r="10" spans="2:13" x14ac:dyDescent="0.2">
      <c r="B10" s="844" t="s">
        <v>903</v>
      </c>
      <c r="C10" s="844"/>
      <c r="D10" s="844"/>
      <c r="G10" s="49"/>
      <c r="H10" s="396"/>
      <c r="J10" s="396"/>
      <c r="K10" s="396"/>
      <c r="L10" s="396"/>
      <c r="M10" s="396"/>
    </row>
    <row r="11" spans="2:13" x14ac:dyDescent="0.2">
      <c r="B11" s="398" t="s">
        <v>904</v>
      </c>
      <c r="C11" s="794"/>
      <c r="D11" s="794"/>
      <c r="G11" s="49"/>
      <c r="H11" s="396"/>
      <c r="J11" s="396"/>
      <c r="K11" s="396"/>
      <c r="L11" s="396"/>
      <c r="M11" s="396"/>
    </row>
    <row r="12" spans="2:13" x14ac:dyDescent="0.2">
      <c r="B12" s="399"/>
      <c r="C12" s="399"/>
      <c r="D12" s="399"/>
      <c r="E12" s="399"/>
      <c r="F12" s="399"/>
      <c r="G12" s="49"/>
      <c r="H12" s="396"/>
      <c r="J12" s="396"/>
      <c r="K12" s="396"/>
      <c r="L12" s="396"/>
      <c r="M12" s="396"/>
    </row>
    <row r="13" spans="2:13" x14ac:dyDescent="0.2">
      <c r="B13" s="49"/>
      <c r="C13" s="49"/>
      <c r="D13" s="49"/>
      <c r="E13" s="49"/>
      <c r="F13" s="49"/>
      <c r="G13" s="49"/>
    </row>
    <row r="14" spans="2:13" x14ac:dyDescent="0.2">
      <c r="B14" s="397" t="s">
        <v>905</v>
      </c>
      <c r="C14" s="844" t="str">
        <f ca="1">CONCATENATE(RRE.Numero,"ª"," Solicitação de ",IF(import.recurso="OGU","Desbloqueio","Desembolso")," de Recursos.")</f>
        <v>1ª Solicitação de Desembolso de Recursos.</v>
      </c>
      <c r="D14" s="844"/>
      <c r="E14" s="844"/>
      <c r="F14" s="844"/>
      <c r="G14" s="844"/>
    </row>
    <row r="15" spans="2:13" ht="12.75" customHeight="1" x14ac:dyDescent="0.2">
      <c r="B15" s="397" t="s">
        <v>906</v>
      </c>
      <c r="C15" s="845" t="str">
        <f>CONCATENATE("Contrato de ",IF(import.recurso="OGU","Repasse","Financiamento")," - Operação nº ",Import.CR,IF(Import.TransfereGOV="","",CONCATENATE(" - TransfereGOV nº ",Import.TransfereGOV)))</f>
        <v xml:space="preserve">Contrato de Financiamento - Operação nº </v>
      </c>
      <c r="D15" s="845"/>
      <c r="E15" s="845"/>
      <c r="F15" s="845"/>
      <c r="G15" s="845"/>
    </row>
    <row r="16" spans="2:13" x14ac:dyDescent="0.2">
      <c r="B16" s="397"/>
      <c r="C16" s="845"/>
      <c r="D16" s="845"/>
      <c r="E16" s="845"/>
      <c r="F16" s="845"/>
      <c r="G16" s="845"/>
    </row>
    <row r="17" spans="2:7" x14ac:dyDescent="0.2">
      <c r="B17" s="49"/>
      <c r="C17" s="49"/>
      <c r="D17" s="49"/>
      <c r="E17" s="49"/>
      <c r="F17" s="49"/>
      <c r="G17" s="49"/>
    </row>
    <row r="18" spans="2:7" ht="12.75" customHeight="1" x14ac:dyDescent="0.2">
      <c r="B18" s="272" t="s">
        <v>907</v>
      </c>
      <c r="C18" s="846" t="str">
        <f>Import.DescLote</f>
        <v>COBERTURA DE QUADRA</v>
      </c>
      <c r="D18" s="846"/>
      <c r="E18" s="846"/>
      <c r="F18" s="846"/>
      <c r="G18" s="846"/>
    </row>
    <row r="19" spans="2:7" ht="12.75" customHeight="1" x14ac:dyDescent="0.2">
      <c r="B19" s="842" t="s">
        <v>908</v>
      </c>
      <c r="C19" s="843" t="str">
        <f>Import.Proponente</f>
        <v>PREFEITURA MUNICIPAL</v>
      </c>
      <c r="D19" s="843"/>
      <c r="E19" s="843"/>
      <c r="F19" s="843"/>
      <c r="G19" s="843"/>
    </row>
    <row r="20" spans="2:7" x14ac:dyDescent="0.2">
      <c r="B20" s="842"/>
      <c r="C20" s="843"/>
      <c r="D20" s="843"/>
      <c r="E20" s="843"/>
      <c r="F20" s="843"/>
      <c r="G20" s="843"/>
    </row>
    <row r="21" spans="2:7" x14ac:dyDescent="0.2">
      <c r="B21" s="49"/>
      <c r="C21" s="49"/>
      <c r="D21" s="49"/>
      <c r="E21" s="49"/>
      <c r="F21" s="49"/>
      <c r="G21" s="49"/>
    </row>
    <row r="22" spans="2:7" x14ac:dyDescent="0.2">
      <c r="B22" t="str">
        <f>IF(B11="GIGOV","Senhor Gerente","Senhor Superintendente")</f>
        <v>Senhor Gerente</v>
      </c>
      <c r="D22" s="49"/>
      <c r="E22" s="49"/>
      <c r="F22" s="49"/>
      <c r="G22" s="49"/>
    </row>
    <row r="23" spans="2:7" x14ac:dyDescent="0.2">
      <c r="B23" s="49"/>
      <c r="C23" s="49"/>
      <c r="D23" s="49"/>
      <c r="E23" s="49"/>
      <c r="F23" s="49"/>
      <c r="G23" s="49"/>
    </row>
    <row r="24" spans="2:7" ht="12.75" customHeight="1" x14ac:dyDescent="0.2">
      <c r="B24" s="846" t="str">
        <f>CONCATENATE("1. Vimos pelo presente, solicitar à Caixa Econômica Federal autorização para ",IF(import.recurso="OGU","desbloqueio","desembolso")," da parcela de recursos relativa ao Contrato de ",IF(import.recurso="OGU","Repasse","Financiamento")," em referência, conforme valores abaixo discriminados e, para tanto, anexamos a documentação necessária ao pleito.")</f>
        <v>1. Vimos pelo presente, solicitar à Caixa Econômica Federal autorização para desembolso da parcela de recursos relativa ao Contrato de Financiamento em referência, conforme valores abaixo discriminados e, para tanto, anexamos a documentação necessária ao pleito.</v>
      </c>
      <c r="C24" s="846"/>
      <c r="D24" s="846"/>
      <c r="E24" s="846"/>
      <c r="F24" s="846"/>
      <c r="G24" s="846"/>
    </row>
    <row r="25" spans="2:7" x14ac:dyDescent="0.2">
      <c r="B25" s="846"/>
      <c r="C25" s="846"/>
      <c r="D25" s="846"/>
      <c r="E25" s="846"/>
      <c r="F25" s="846"/>
      <c r="G25" s="846"/>
    </row>
    <row r="26" spans="2:7" x14ac:dyDescent="0.2">
      <c r="B26" s="846"/>
      <c r="C26" s="846"/>
      <c r="D26" s="846"/>
      <c r="E26" s="846"/>
      <c r="F26" s="846"/>
      <c r="G26" s="846"/>
    </row>
    <row r="27" spans="2:7" x14ac:dyDescent="0.2">
      <c r="B27" s="49"/>
      <c r="C27" s="49"/>
      <c r="D27" s="49"/>
      <c r="E27" s="49"/>
      <c r="F27" s="49"/>
      <c r="G27" s="49"/>
    </row>
    <row r="28" spans="2:7" ht="12.75" customHeight="1" x14ac:dyDescent="0.2">
      <c r="B28" s="841"/>
      <c r="C28" s="841"/>
      <c r="D28" s="847" t="s">
        <v>909</v>
      </c>
      <c r="E28" s="847" t="str">
        <f ca="1">"Evolução da "&amp;RRE.Numero&amp;"ª Medição"</f>
        <v>Evolução da 1ª Medição</v>
      </c>
      <c r="F28" s="848" t="s">
        <v>910</v>
      </c>
      <c r="G28" s="848"/>
    </row>
    <row r="29" spans="2:7" x14ac:dyDescent="0.2">
      <c r="B29" s="841"/>
      <c r="C29" s="841"/>
      <c r="D29" s="847"/>
      <c r="E29" s="847"/>
      <c r="F29" s="848"/>
      <c r="G29" s="848"/>
    </row>
    <row r="30" spans="2:7" x14ac:dyDescent="0.2">
      <c r="B30" s="836" t="str">
        <f>IF(import.recurso="FGTS","Financiamento:","Repasse:")</f>
        <v>Repasse:</v>
      </c>
      <c r="C30" s="836"/>
      <c r="D30" s="400">
        <f ca="1">RRE!L25</f>
        <v>0</v>
      </c>
      <c r="E30" s="400" t="e">
        <f ca="1">RRE!N25</f>
        <v>#NAME?</v>
      </c>
      <c r="F30" s="837" t="e">
        <f ca="1">RRE!O25</f>
        <v>#NAME?</v>
      </c>
      <c r="G30" s="837"/>
    </row>
    <row r="31" spans="2:7" x14ac:dyDescent="0.2">
      <c r="B31" s="836" t="s">
        <v>911</v>
      </c>
      <c r="C31" s="836"/>
      <c r="D31" s="400">
        <f ca="1">RRE!L26</f>
        <v>0</v>
      </c>
      <c r="E31" s="400" t="e">
        <f ca="1">RRE!N26</f>
        <v>#NAME?</v>
      </c>
      <c r="F31" s="837" t="e">
        <f ca="1">RRE!O26</f>
        <v>#NAME?</v>
      </c>
      <c r="G31" s="837"/>
    </row>
    <row r="32" spans="2:7" x14ac:dyDescent="0.2">
      <c r="B32" s="836" t="s">
        <v>806</v>
      </c>
      <c r="C32" s="836"/>
      <c r="D32" s="400">
        <f ca="1">RRE!L27</f>
        <v>0</v>
      </c>
      <c r="E32" s="400" t="e">
        <f ca="1">RRE!N27</f>
        <v>#NAME?</v>
      </c>
      <c r="F32" s="837" t="e">
        <f ca="1">RRE!O27</f>
        <v>#NAME?</v>
      </c>
      <c r="G32" s="837"/>
    </row>
    <row r="33" spans="2:7" x14ac:dyDescent="0.2">
      <c r="B33" s="836" t="s">
        <v>807</v>
      </c>
      <c r="C33" s="836"/>
      <c r="D33" s="400">
        <f ca="1">RRE!L28</f>
        <v>0</v>
      </c>
      <c r="E33" s="400" t="e">
        <f ca="1">RRE!N28</f>
        <v>#NAME?</v>
      </c>
      <c r="F33" s="837" t="e">
        <f ca="1">RRE!O28</f>
        <v>#NAME?</v>
      </c>
      <c r="G33" s="837"/>
    </row>
    <row r="34" spans="2:7" x14ac:dyDescent="0.2">
      <c r="B34" s="838" t="s">
        <v>912</v>
      </c>
      <c r="C34" s="838"/>
      <c r="D34" s="401" t="s">
        <v>691</v>
      </c>
      <c r="E34" s="402" t="e">
        <f ca="1">RRE!$N$28/(RRE!$L$28+10^-12)</f>
        <v>#NAME?</v>
      </c>
      <c r="F34" s="839" t="e">
        <f ca="1">RRE!P24</f>
        <v>#NAME?</v>
      </c>
      <c r="G34" s="839"/>
    </row>
    <row r="35" spans="2:7" x14ac:dyDescent="0.2">
      <c r="B35" s="182"/>
      <c r="C35" s="49"/>
      <c r="D35" s="49"/>
      <c r="E35" s="49"/>
      <c r="F35" s="49"/>
      <c r="G35" s="49"/>
    </row>
    <row r="36" spans="2:7" x14ac:dyDescent="0.2">
      <c r="B36" s="182"/>
      <c r="C36" s="182"/>
      <c r="D36" s="182"/>
      <c r="E36" s="182"/>
      <c r="F36" s="182"/>
      <c r="G36" s="49"/>
    </row>
    <row r="37" spans="2:7" x14ac:dyDescent="0.2">
      <c r="B37" s="840" t="str">
        <f ca="1">IF(RRE.Numero&gt;1,"2. Encaminhamos ainda a documentação relativa à prestação de contas da etapa físico-financeira anterior.","")</f>
        <v/>
      </c>
      <c r="C37" s="840"/>
      <c r="D37" s="840"/>
      <c r="E37" s="840"/>
      <c r="F37" s="840"/>
      <c r="G37" s="840"/>
    </row>
    <row r="38" spans="2:7" x14ac:dyDescent="0.2">
      <c r="B38" s="840"/>
      <c r="C38" s="840"/>
      <c r="D38" s="840"/>
      <c r="E38" s="840"/>
      <c r="F38" s="840"/>
      <c r="G38" s="840"/>
    </row>
    <row r="39" spans="2:7" ht="12.75" customHeight="1" x14ac:dyDescent="0.2">
      <c r="B39" s="840" t="str">
        <f ca="1">IF(AND(RRE.Numero&gt;1,NOT(ISBLANK(Import.TransfereGOV))),"3. Na oportunidade, informamos que a execução financeira da parcela anterior está devidamente comprovada no TransfereGOV.","")</f>
        <v/>
      </c>
      <c r="C39" s="840"/>
      <c r="D39" s="840"/>
      <c r="E39" s="840"/>
      <c r="F39" s="840"/>
      <c r="G39" s="840"/>
    </row>
    <row r="40" spans="2:7" x14ac:dyDescent="0.2">
      <c r="B40" s="840"/>
      <c r="C40" s="840"/>
      <c r="D40" s="840"/>
      <c r="E40" s="840"/>
      <c r="F40" s="840"/>
      <c r="G40" s="840"/>
    </row>
    <row r="41" spans="2:7" x14ac:dyDescent="0.2">
      <c r="B41" s="403"/>
      <c r="C41" s="398"/>
      <c r="D41" s="398"/>
      <c r="E41" s="398"/>
      <c r="F41" s="398"/>
      <c r="G41" s="398"/>
    </row>
    <row r="42" spans="2:7" ht="12.75" customHeight="1" x14ac:dyDescent="0.2">
      <c r="B42" s="840" t="str">
        <f ca="1">IF($B$37="",0,1)+IF($B$39="",0,1)+2&amp;". Informamos também a manutenção da Placa de Obra em local visível e de acordo com padrão estabelecido pela Presidência da República, constante do Manual Visual de Placas e Adesivos de Obra."</f>
        <v>2. Informamos também a manutenção da Placa de Obra em local visível e de acordo com padrão estabelecido pela Presidência da República, constante do Manual Visual de Placas e Adesivos de Obra.</v>
      </c>
      <c r="C42" s="840"/>
      <c r="D42" s="840"/>
      <c r="E42" s="840"/>
      <c r="F42" s="840"/>
      <c r="G42" s="840"/>
    </row>
    <row r="43" spans="2:7" x14ac:dyDescent="0.2">
      <c r="B43" s="840"/>
      <c r="C43" s="840"/>
      <c r="D43" s="840"/>
      <c r="E43" s="840"/>
      <c r="F43" s="840"/>
      <c r="G43" s="840"/>
    </row>
    <row r="44" spans="2:7" x14ac:dyDescent="0.2">
      <c r="B44" s="840"/>
      <c r="C44" s="840"/>
      <c r="D44" s="840"/>
      <c r="E44" s="840"/>
      <c r="F44" s="840"/>
      <c r="G44" s="840"/>
    </row>
    <row r="45" spans="2:7" x14ac:dyDescent="0.2">
      <c r="B45" s="840"/>
      <c r="C45" s="840"/>
      <c r="D45" s="840"/>
      <c r="E45" s="840"/>
      <c r="F45" s="840"/>
      <c r="G45" s="840"/>
    </row>
    <row r="46" spans="2:7" x14ac:dyDescent="0.2">
      <c r="B46" s="840"/>
      <c r="C46" s="840"/>
      <c r="D46" s="840"/>
      <c r="E46" s="840"/>
      <c r="F46" s="840"/>
      <c r="G46" s="840"/>
    </row>
    <row r="47" spans="2:7" x14ac:dyDescent="0.2">
      <c r="G47" s="278"/>
    </row>
    <row r="48" spans="2:7" x14ac:dyDescent="0.2">
      <c r="G48" s="278"/>
    </row>
    <row r="49" spans="2:7" x14ac:dyDescent="0.2">
      <c r="B49" s="49" t="s">
        <v>913</v>
      </c>
      <c r="G49" s="278"/>
    </row>
    <row r="50" spans="2:7" x14ac:dyDescent="0.2">
      <c r="B50" s="278"/>
      <c r="C50" s="278"/>
      <c r="D50" s="278"/>
      <c r="E50" s="278"/>
      <c r="F50" s="278"/>
      <c r="G50" s="278"/>
    </row>
    <row r="51" spans="2:7" x14ac:dyDescent="0.2">
      <c r="B51" s="49"/>
      <c r="C51" s="49"/>
      <c r="D51" s="49"/>
      <c r="E51" s="49"/>
      <c r="F51" s="49"/>
      <c r="G51" s="49"/>
    </row>
    <row r="52" spans="2:7" x14ac:dyDescent="0.2">
      <c r="B52" s="49"/>
      <c r="C52" s="49"/>
      <c r="D52" s="49"/>
      <c r="E52" s="49"/>
      <c r="F52" s="49"/>
      <c r="G52" s="49"/>
    </row>
    <row r="53" spans="2:7" x14ac:dyDescent="0.2">
      <c r="B53" s="404"/>
      <c r="C53" s="404"/>
      <c r="D53" s="404"/>
      <c r="E53" s="49"/>
      <c r="F53" s="49"/>
      <c r="G53" s="49"/>
    </row>
    <row r="54" spans="2:7" x14ac:dyDescent="0.2">
      <c r="B54" s="834" t="str">
        <f>DADOS!$C$28</f>
        <v>Marcelo C. Spode</v>
      </c>
      <c r="C54" s="834"/>
      <c r="D54" s="834"/>
      <c r="E54" s="834"/>
      <c r="F54" s="834"/>
      <c r="G54" s="834"/>
    </row>
    <row r="55" spans="2:7" x14ac:dyDescent="0.2">
      <c r="B55" s="834" t="str">
        <f>DADOS!$C$29</f>
        <v>Prefeito Municipal</v>
      </c>
      <c r="C55" s="834"/>
      <c r="D55" s="834"/>
      <c r="E55" s="834"/>
      <c r="F55" s="834"/>
      <c r="G55" s="834"/>
    </row>
    <row r="56" spans="2:7" x14ac:dyDescent="0.2">
      <c r="B56" s="835"/>
      <c r="C56" s="835"/>
      <c r="D56" s="835"/>
      <c r="E56" s="835"/>
      <c r="F56" s="835"/>
      <c r="G56" s="835"/>
    </row>
  </sheetData>
  <sheetProtection password="BD1F" sheet="1" objects="1" scenarios="1" autoFilter="0"/>
  <mergeCells count="30">
    <mergeCell ref="C6:D6"/>
    <mergeCell ref="B8:G8"/>
    <mergeCell ref="B10:D10"/>
    <mergeCell ref="B1:C4"/>
    <mergeCell ref="B24:G26"/>
    <mergeCell ref="B28:C29"/>
    <mergeCell ref="B19:B20"/>
    <mergeCell ref="C19:G20"/>
    <mergeCell ref="C11:D11"/>
    <mergeCell ref="C14:G14"/>
    <mergeCell ref="C15:G16"/>
    <mergeCell ref="C18:G18"/>
    <mergeCell ref="D28:D29"/>
    <mergeCell ref="E28:E29"/>
    <mergeCell ref="F28:G29"/>
    <mergeCell ref="B31:C31"/>
    <mergeCell ref="F31:G31"/>
    <mergeCell ref="B30:C30"/>
    <mergeCell ref="F30:G30"/>
    <mergeCell ref="B54:G54"/>
    <mergeCell ref="B32:C32"/>
    <mergeCell ref="F32:G32"/>
    <mergeCell ref="B55:G56"/>
    <mergeCell ref="B33:C33"/>
    <mergeCell ref="F33:G33"/>
    <mergeCell ref="B34:C34"/>
    <mergeCell ref="F34:G34"/>
    <mergeCell ref="B37:G38"/>
    <mergeCell ref="B39:G40"/>
    <mergeCell ref="B42:G46"/>
  </mergeCells>
  <phoneticPr fontId="38" type="noConversion"/>
  <conditionalFormatting sqref="D30:D33 F30:G33">
    <cfRule type="cellIs" dxfId="39" priority="2" stopIfTrue="1" operator="notBetween">
      <formula>0</formula>
      <formula>D$33</formula>
    </cfRule>
  </conditionalFormatting>
  <dataValidations count="1">
    <dataValidation type="list" allowBlank="1" showErrorMessage="1" sqref="B11">
      <formula1>"GIGOV,SR"</formula1>
      <formula2>0</formula2>
    </dataValidation>
  </dataValidations>
  <pageMargins left="0.78740157480314998" right="0.78740157480314998" top="0.78740157480314998" bottom="0.78740157480314998" header="5.7086614173228396" footer="0.59055118110236204"/>
  <pageSetup paperSize="9" scale="97" firstPageNumber="0" orientation="portrait" horizontalDpi="300" verticalDpi="300" r:id="rId1"/>
  <headerFooter alignWithMargins="0">
    <oddHeader>&amp;L_</oddHeader>
    <oddFooter>&amp;LPMv3.10&amp;R&amp;P / &amp;N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
  <dimension ref="A1:S2"/>
  <sheetViews>
    <sheetView workbookViewId="0">
      <pane ySplit="1" topLeftCell="A2" activePane="bottomLeft" state="frozen"/>
      <selection pane="bottomLeft"/>
    </sheetView>
  </sheetViews>
  <sheetFormatPr defaultColWidth="9.140625" defaultRowHeight="15" x14ac:dyDescent="0.25"/>
  <cols>
    <col min="1" max="1" width="15" style="517" customWidth="1"/>
    <col min="2" max="2" width="25" style="517" customWidth="1"/>
    <col min="3" max="3" width="12" style="517" customWidth="1"/>
    <col min="4" max="4" width="15.5703125" style="519" customWidth="1"/>
    <col min="5" max="5" width="70" style="517" customWidth="1"/>
    <col min="6" max="6" width="20" style="517" customWidth="1"/>
    <col min="7" max="7" width="10" style="517" customWidth="1"/>
    <col min="8" max="8" width="25" style="517" customWidth="1"/>
    <col min="9" max="9" width="15" style="517" customWidth="1"/>
    <col min="10" max="10" width="13" style="517" customWidth="1"/>
    <col min="11" max="12" width="35" style="517" customWidth="1"/>
    <col min="13" max="13" width="20" style="517" customWidth="1"/>
    <col min="14" max="14" width="15" style="517" customWidth="1"/>
    <col min="15" max="15" width="50" style="517" customWidth="1"/>
    <col min="16" max="16" width="20" style="517" customWidth="1"/>
    <col min="17" max="17" width="50" style="517" customWidth="1"/>
    <col min="18" max="18" width="15" style="517" customWidth="1"/>
    <col min="19" max="19" width="17.5703125" style="517" customWidth="1"/>
    <col min="20" max="16384" width="9.140625" style="517"/>
  </cols>
  <sheetData>
    <row r="1" spans="1:19" x14ac:dyDescent="0.25">
      <c r="A1" s="516" t="s">
        <v>914</v>
      </c>
      <c r="B1" s="516" t="s">
        <v>915</v>
      </c>
      <c r="C1" s="516" t="s">
        <v>739</v>
      </c>
      <c r="D1" s="518" t="s">
        <v>740</v>
      </c>
      <c r="E1" s="516" t="s">
        <v>916</v>
      </c>
      <c r="F1" s="516" t="s">
        <v>917</v>
      </c>
      <c r="G1" s="516" t="s">
        <v>918</v>
      </c>
      <c r="H1" s="516" t="s">
        <v>919</v>
      </c>
      <c r="I1" s="516" t="s">
        <v>920</v>
      </c>
      <c r="J1" s="516" t="s">
        <v>23</v>
      </c>
      <c r="K1" s="516" t="s">
        <v>921</v>
      </c>
      <c r="L1" s="516" t="s">
        <v>922</v>
      </c>
      <c r="M1" s="516" t="s">
        <v>923</v>
      </c>
      <c r="N1" s="516" t="s">
        <v>924</v>
      </c>
      <c r="O1" s="516" t="s">
        <v>925</v>
      </c>
      <c r="P1" s="516" t="s">
        <v>926</v>
      </c>
      <c r="Q1" s="516" t="s">
        <v>927</v>
      </c>
      <c r="R1" s="516" t="s">
        <v>928</v>
      </c>
      <c r="S1" s="516" t="s">
        <v>929</v>
      </c>
    </row>
    <row r="2" spans="1:19" ht="45" customHeight="1" x14ac:dyDescent="0.25">
      <c r="A2" s="595"/>
      <c r="B2" s="596"/>
      <c r="C2" s="595"/>
      <c r="D2" s="595"/>
      <c r="E2" s="595"/>
      <c r="F2" s="597"/>
      <c r="G2" s="595"/>
      <c r="H2" s="598"/>
      <c r="I2" s="598"/>
      <c r="J2" s="603"/>
      <c r="K2" s="600"/>
      <c r="L2" s="604"/>
      <c r="M2" s="595"/>
      <c r="N2" s="601"/>
      <c r="O2" s="595"/>
      <c r="P2" s="601"/>
      <c r="Q2" s="595"/>
      <c r="R2" s="602"/>
      <c r="S2" s="600"/>
    </row>
  </sheetData>
  <sheetProtection algorithmName="SHA-512" hashValue="IbwASnmskSpspmDmAE3FGnKm9vxzW6KTfoXijsf+9xkyUqdg0uLlF1v0/HkxodVhvSYxYVx5FWqbZmeLdATjvg==" saltValue="uEpUZp85KVY6SFtDkBLA2A==" spinCount="100000" sheet="1" objects="1" scenarios="1"/>
  <conditionalFormatting sqref="A2:S2">
    <cfRule type="expression" dxfId="38" priority="61">
      <formula>$A2="Macrosserviço"</formula>
    </cfRule>
  </conditionalFormatting>
  <conditionalFormatting sqref="E2">
    <cfRule type="expression" dxfId="37" priority="67">
      <formula>OR(E2="",IF($A2="Macrosserviço",LEN($E2)&gt;100,LEN($E2)&gt;500))</formula>
    </cfRule>
  </conditionalFormatting>
  <conditionalFormatting sqref="M2">
    <cfRule type="expression" dxfId="36" priority="62">
      <formula>IF($A2="Serviço",LEN(M2)&gt;500,M2&lt;&gt;"")</formula>
    </cfRule>
  </conditionalFormatting>
  <conditionalFormatting sqref="A2">
    <cfRule type="expression" dxfId="35" priority="54">
      <formula>AND(A2&lt;&gt;"Macrosserviço",A2&lt;&gt;"Serviço")</formula>
    </cfRule>
  </conditionalFormatting>
  <conditionalFormatting sqref="C2">
    <cfRule type="expression" dxfId="34" priority="53">
      <formula>IF($A2="Serviço",AND(C2&lt;&gt;"Composição",C2&lt;&gt;"Cotação",C2&lt;&gt;"SINAPI",C2&lt;&gt;"Outros"),C2&lt;&gt;"")</formula>
    </cfRule>
  </conditionalFormatting>
  <conditionalFormatting sqref="D2">
    <cfRule type="expression" dxfId="33" priority="52">
      <formula>IF($A2="Serviço",OR(D2="",LEN($D2)&gt;13),D2&lt;&gt;"")</formula>
    </cfRule>
  </conditionalFormatting>
  <conditionalFormatting sqref="H2">
    <cfRule type="expression" dxfId="32" priority="51">
      <formula>IF(A2="Serviço",OR(NOT(ISNUMBER(H2)),H2&lt;&gt;ROUND(H2,2),AND(C2&lt;&gt;"SINAPI",H2=0),H2&lt;0,H2&gt;9999999999.99),H2&lt;&gt;"")</formula>
    </cfRule>
  </conditionalFormatting>
  <conditionalFormatting sqref="I2">
    <cfRule type="expression" dxfId="31" priority="50">
      <formula>IF($A2="Serviço",OR(NOT(ISNUMBER(I2)),I2&lt;&gt;ROUND(I2,2),I2&lt;=0,I2&gt;9999999999.99),I2&lt;&gt;"")</formula>
    </cfRule>
  </conditionalFormatting>
  <conditionalFormatting sqref="J2">
    <cfRule type="expression" dxfId="30" priority="49">
      <formula>IF($A2="Serviço",OR(NOT(ISNUMBER(VALUE(J2))),VALUE(J2)&lt;&gt;ROUND(VALUE(J2),4),VALUE(J2)&lt;=0,VALUE(J2)&gt;100%),J2&lt;&gt;"")</formula>
    </cfRule>
  </conditionalFormatting>
  <conditionalFormatting sqref="N2">
    <cfRule type="expression" dxfId="29" priority="48">
      <formula>IF($A2="Serviço",OR(NOT(ISNUMBER(N2)),N2&lt;&gt;ROUND(N2,0),N2&lt;1,N2&gt;999),N2&lt;&gt;"")</formula>
    </cfRule>
  </conditionalFormatting>
  <conditionalFormatting sqref="O2">
    <cfRule type="expression" dxfId="28" priority="47">
      <formula>IF($A2="Serviço",OR(O2="",LEN(O2)&gt;100),O2&lt;&gt;"")</formula>
    </cfRule>
  </conditionalFormatting>
  <conditionalFormatting sqref="P2">
    <cfRule type="expression" dxfId="27" priority="46">
      <formula>IF($A2="Macrosserviço",P2&lt;&gt;"",OR(NOT(ISNUMBER(P2)),P2&lt;&gt;ROUND(P2,0),P2&lt;1,P2&gt;999))</formula>
    </cfRule>
  </conditionalFormatting>
  <conditionalFormatting sqref="Q2">
    <cfRule type="expression" dxfId="26" priority="45">
      <formula>IF($A2="Macrosserviço",Q2&lt;&gt;"",OR(Q2="",LEN(Q2)&gt;100))</formula>
    </cfRule>
  </conditionalFormatting>
  <conditionalFormatting sqref="B2">
    <cfRule type="cellIs" dxfId="25" priority="44" operator="equal">
      <formula>""</formula>
    </cfRule>
  </conditionalFormatting>
  <conditionalFormatting sqref="R2">
    <cfRule type="expression" dxfId="24" priority="36">
      <formula>IF($A2="Macrosserviço",R2&lt;&gt;"",OR(NOT(ISNUMBER(R2)),R2&lt;&gt;ROUND(R2,2),R2&lt;=0,R2&gt;99999999.99))</formula>
    </cfRule>
  </conditionalFormatting>
  <pageMargins left="0.78740157480314998" right="0.78740157480314998" top="0.78740157480314998" bottom="0.78740157480314998" header="5.7086614173228396" footer="0.59055118110236204"/>
  <pageSetup paperSize="9" orientation="portrait" r:id="rId1"/>
  <headerFooter>
    <oddHeader>&amp;L_</oddHeader>
    <oddFooter>&amp;LPMv3.10&amp;R&amp;P / &amp;N</oddFooter>
  </headerFooter>
  <extLst>
    <ext xmlns:x14="http://schemas.microsoft.com/office/spreadsheetml/2009/9/main" uri="{78C0D931-6437-407d-A8EE-F0AAD7539E65}">
      <x14:conditionalFormattings>
        <x14:conditionalFormatting xmlns:xm="http://schemas.microsoft.com/office/excel/2006/main">
          <x14:cfRule type="expression" priority="12733" id="{25CCDBA9-1706-4691-BF49-13343E4655EF}">
            <xm:f>AND($A2="Serviço",OR($G2="",ISNA(MATCH($G2,DADOS!$AQ$3:$AQ$221,0))))</xm:f>
            <x14:dxf>
              <fill>
                <patternFill>
                  <bgColor rgb="FFFF0000"/>
                </patternFill>
              </fill>
            </x14:dxf>
          </x14:cfRule>
          <xm:sqref>G2</xm:sqref>
        </x14:conditionalFormatting>
      </x14:conditionalFormatting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
  <dimension ref="A1:E2"/>
  <sheetViews>
    <sheetView workbookViewId="0"/>
  </sheetViews>
  <sheetFormatPr defaultColWidth="9.140625" defaultRowHeight="15" x14ac:dyDescent="0.25"/>
  <cols>
    <col min="1" max="1" width="15" style="517" customWidth="1"/>
    <col min="2" max="2" width="50" style="517" customWidth="1"/>
    <col min="3" max="3" width="20" style="517" customWidth="1"/>
    <col min="4" max="4" width="50" style="517" customWidth="1"/>
    <col min="5" max="5" width="35" style="517" customWidth="1"/>
    <col min="6" max="16384" width="9.140625" style="517"/>
  </cols>
  <sheetData>
    <row r="1" spans="1:5" x14ac:dyDescent="0.25">
      <c r="A1" s="516" t="s">
        <v>930</v>
      </c>
      <c r="B1" s="516" t="s">
        <v>765</v>
      </c>
      <c r="C1" s="516" t="s">
        <v>931</v>
      </c>
      <c r="D1" s="516" t="s">
        <v>927</v>
      </c>
      <c r="E1" s="516" t="s">
        <v>932</v>
      </c>
    </row>
    <row r="2" spans="1:5" ht="45" customHeight="1" x14ac:dyDescent="0.25">
      <c r="A2" s="606"/>
      <c r="B2" s="606"/>
      <c r="C2" s="659"/>
      <c r="D2" s="659"/>
      <c r="E2" s="659"/>
    </row>
  </sheetData>
  <sheetProtection algorithmName="SHA-512" hashValue="pwJibfYdYa27svLryhUYtdIAeIOADR2swUrkgOf+0XBMBgRRtZ5Z1EiaYNJRayG8U/WP+S34AOvuX5WYBpHALw==" saltValue="5LP8y1OzxG8OB9NecNE4qA==" spinCount="100000" sheet="1" objects="1" scenarios="1"/>
  <conditionalFormatting sqref="A2">
    <cfRule type="expression" dxfId="22" priority="5">
      <formula>OR(NOT(ISNUMBER(A2)),A2&lt;&gt;ROUND(A2,0),A2&lt;1,A2&gt;999)</formula>
    </cfRule>
  </conditionalFormatting>
  <conditionalFormatting sqref="B2">
    <cfRule type="expression" dxfId="21" priority="4">
      <formula>OR(B2="",LEN(B2)&gt;100)</formula>
    </cfRule>
  </conditionalFormatting>
  <conditionalFormatting sqref="C2">
    <cfRule type="expression" dxfId="20" priority="3">
      <formula>OR(NOT(ISNUMBER(C2)),C2&lt;&gt;ROUND(C2,0),C2&lt;1,C2&gt;999)</formula>
    </cfRule>
  </conditionalFormatting>
  <conditionalFormatting sqref="D2">
    <cfRule type="expression" dxfId="19" priority="2">
      <formula>OR(D2="",LEN(D2)&gt;100)</formula>
    </cfRule>
  </conditionalFormatting>
  <conditionalFormatting sqref="E2">
    <cfRule type="expression" dxfId="18" priority="1">
      <formula>OR(NOT(ISNUMBER(E2)),E2&lt;&gt;ROUND(E2,0),E2&lt;1,E2&gt;120)</formula>
    </cfRule>
  </conditionalFormatting>
  <pageMargins left="0.78740157480314998" right="0.78740157480314998" top="0.78740157480314998" bottom="0.78740157480314998" header="5.7086614173228396" footer="0.59055118110236204"/>
  <pageSetup paperSize="9" orientation="portrait" r:id="rId1"/>
  <headerFooter>
    <oddHeader>&amp;L_</oddHeader>
    <oddFooter>&amp;LPMv3.10&amp;R&amp;P / &amp;N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3"/>
  <dimension ref="A1:Q2"/>
  <sheetViews>
    <sheetView workbookViewId="0">
      <pane ySplit="1" topLeftCell="A2" activePane="bottomLeft" state="frozen"/>
      <selection activeCell="K1" sqref="K1"/>
      <selection pane="bottomLeft"/>
    </sheetView>
  </sheetViews>
  <sheetFormatPr defaultColWidth="9.140625" defaultRowHeight="15" x14ac:dyDescent="0.25"/>
  <cols>
    <col min="1" max="1" width="15" style="517" customWidth="1"/>
    <col min="2" max="2" width="25" style="517" customWidth="1"/>
    <col min="3" max="3" width="12" style="517" customWidth="1"/>
    <col min="4" max="4" width="15.5703125" style="519" customWidth="1"/>
    <col min="5" max="5" width="70" style="517" customWidth="1"/>
    <col min="6" max="6" width="20" style="517" customWidth="1"/>
    <col min="7" max="7" width="10" style="517" customWidth="1"/>
    <col min="8" max="8" width="25" style="517" customWidth="1"/>
    <col min="9" max="9" width="15" style="517" customWidth="1"/>
    <col min="10" max="10" width="13" style="517" customWidth="1"/>
    <col min="11" max="12" width="35" style="517" customWidth="1"/>
    <col min="13" max="14" width="20" style="517" customWidth="1"/>
    <col min="15" max="15" width="50" style="517" customWidth="1"/>
    <col min="16" max="16" width="15" style="517" customWidth="1"/>
    <col min="17" max="17" width="17.5703125" style="517" customWidth="1"/>
    <col min="18" max="16384" width="9.140625" style="517"/>
  </cols>
  <sheetData>
    <row r="1" spans="1:17" x14ac:dyDescent="0.25">
      <c r="A1" s="516" t="s">
        <v>914</v>
      </c>
      <c r="B1" s="516" t="s">
        <v>915</v>
      </c>
      <c r="C1" s="516" t="s">
        <v>739</v>
      </c>
      <c r="D1" s="518" t="s">
        <v>740</v>
      </c>
      <c r="E1" s="516" t="s">
        <v>916</v>
      </c>
      <c r="F1" s="516" t="s">
        <v>917</v>
      </c>
      <c r="G1" s="516" t="s">
        <v>918</v>
      </c>
      <c r="H1" s="516" t="s">
        <v>919</v>
      </c>
      <c r="I1" s="516" t="s">
        <v>920</v>
      </c>
      <c r="J1" s="516" t="s">
        <v>23</v>
      </c>
      <c r="K1" s="516" t="s">
        <v>921</v>
      </c>
      <c r="L1" s="516" t="s">
        <v>922</v>
      </c>
      <c r="M1" s="516" t="s">
        <v>923</v>
      </c>
      <c r="N1" s="516" t="s">
        <v>926</v>
      </c>
      <c r="O1" s="516" t="s">
        <v>927</v>
      </c>
      <c r="P1" s="516" t="s">
        <v>928</v>
      </c>
      <c r="Q1" s="516" t="s">
        <v>929</v>
      </c>
    </row>
    <row r="2" spans="1:17" ht="45" customHeight="1" x14ac:dyDescent="0.25">
      <c r="A2" s="595"/>
      <c r="B2" s="596"/>
      <c r="C2" s="595"/>
      <c r="D2" s="595"/>
      <c r="E2" s="595"/>
      <c r="F2" s="597"/>
      <c r="G2" s="595"/>
      <c r="H2" s="598"/>
      <c r="I2" s="598"/>
      <c r="J2" s="599"/>
      <c r="K2" s="600"/>
      <c r="L2" s="600"/>
      <c r="M2" s="595"/>
      <c r="N2" s="601"/>
      <c r="O2" s="595"/>
      <c r="P2" s="602"/>
      <c r="Q2" s="600"/>
    </row>
  </sheetData>
  <sheetProtection algorithmName="SHA-512" hashValue="GUqofRu0rAHgSfW2n3/SIoJ0C0TI0xFYrpabzym4boKDnVIKtsiKX5DtVbT0mu591I/yB/ILd1boTP7mR/75tw==" saltValue="053lLC44CcKS55J6iwFNIQ==" spinCount="100000" sheet="1" objects="1" scenarios="1"/>
  <conditionalFormatting sqref="A2:Q2">
    <cfRule type="expression" dxfId="17" priority="38">
      <formula>$A2="Macrosserviço"</formula>
    </cfRule>
  </conditionalFormatting>
  <conditionalFormatting sqref="E2">
    <cfRule type="expression" dxfId="16" priority="40">
      <formula>OR(E2="",IF($A2="Macrosserviço",LEN($E2)&gt;100,LEN($E2)&gt;500))</formula>
    </cfRule>
  </conditionalFormatting>
  <conditionalFormatting sqref="M2">
    <cfRule type="expression" dxfId="15" priority="39">
      <formula>IF($A2="Serviço",LEN(M2)&gt;500,M2&lt;&gt;"")</formula>
    </cfRule>
  </conditionalFormatting>
  <conditionalFormatting sqref="A2">
    <cfRule type="expression" dxfId="14" priority="37">
      <formula>AND(A2&lt;&gt;"Macrosserviço",A2&lt;&gt;"Serviço")</formula>
    </cfRule>
  </conditionalFormatting>
  <conditionalFormatting sqref="C2">
    <cfRule type="expression" dxfId="13" priority="36">
      <formula>IF($A2="Serviço",AND(C2&lt;&gt;"Composição",C2&lt;&gt;"Cotação",C2&lt;&gt;"SINAPI",C2&lt;&gt;"Outros"),C2&lt;&gt;"")</formula>
    </cfRule>
  </conditionalFormatting>
  <conditionalFormatting sqref="D2">
    <cfRule type="expression" dxfId="12" priority="35">
      <formula>IF($A2="Serviço",OR(D2="",LEN($D2)&gt;13),D2&lt;&gt;"")</formula>
    </cfRule>
  </conditionalFormatting>
  <conditionalFormatting sqref="H2">
    <cfRule type="expression" dxfId="11" priority="34">
      <formula>IF(A2="Serviço",OR(NOT(ISNUMBER(H2)),H2&lt;&gt;ROUND(H2,2),AND(C2&lt;&gt;"SINAPI",H2=0),H2&lt;0,H2&gt;9999999999.99),H2&lt;&gt;"")</formula>
    </cfRule>
  </conditionalFormatting>
  <conditionalFormatting sqref="I2">
    <cfRule type="expression" dxfId="10" priority="33">
      <formula>IF($A2="Serviço",OR(NOT(ISNUMBER(I2)),I2&lt;&gt;ROUND(I2,2),I2&lt;=0,I2&gt;9999999999.99),I2&lt;&gt;"")</formula>
    </cfRule>
  </conditionalFormatting>
  <conditionalFormatting sqref="J2">
    <cfRule type="expression" dxfId="9" priority="32">
      <formula>IF($A2="Serviço",OR(NOT(ISNUMBER(VALUE(J2))),VALUE(J2)&lt;&gt;ROUND(VALUE(J2),4),VALUE(J2)&lt;=0,VALUE(J2)&gt;100%),J2&lt;&gt;"")</formula>
    </cfRule>
  </conditionalFormatting>
  <conditionalFormatting sqref="B2">
    <cfRule type="cellIs" dxfId="8" priority="31" operator="equal">
      <formula>""</formula>
    </cfRule>
  </conditionalFormatting>
  <conditionalFormatting sqref="N2">
    <cfRule type="expression" dxfId="7" priority="29">
      <formula>IF($A2="Macrosserviço",N2&lt;&gt;"",OR(NOT(ISNUMBER(N2)),N2&lt;&gt;ROUND(N2,0),N2&lt;1,N2&gt;999))</formula>
    </cfRule>
  </conditionalFormatting>
  <conditionalFormatting sqref="O2">
    <cfRule type="expression" dxfId="6" priority="28">
      <formula>IF($A2="Macrosserviço",O2&lt;&gt;"",OR(O2="",LEN(O2)&gt;100))</formula>
    </cfRule>
  </conditionalFormatting>
  <conditionalFormatting sqref="P2">
    <cfRule type="expression" dxfId="5" priority="27">
      <formula>IF($A2="Macrosserviço",P2&lt;&gt;"",OR(NOT(ISNUMBER(P2)),P2&lt;&gt;ROUND(P2,2),P2&lt;=0,P2&gt;99999999.99))</formula>
    </cfRule>
  </conditionalFormatting>
  <pageMargins left="0.78740157480314998" right="0.78740157480314998" top="0.78740157480314998" bottom="0.78740157480314998" header="5.7086614173228396" footer="0.59055118110236204"/>
  <pageSetup paperSize="9" orientation="portrait" r:id="rId1"/>
  <headerFooter>
    <oddHeader>&amp;L_</oddHeader>
    <oddFooter>&amp;LPMv3.10&amp;R&amp;P / &amp;N</oddFooter>
  </headerFooter>
  <extLst>
    <ext xmlns:x14="http://schemas.microsoft.com/office/spreadsheetml/2009/9/main" uri="{78C0D931-6437-407d-A8EE-F0AAD7539E65}">
      <x14:conditionalFormattings>
        <x14:conditionalFormatting xmlns:xm="http://schemas.microsoft.com/office/excel/2006/main">
          <x14:cfRule type="expression" priority="41" id="{8B16C818-3B51-449F-9B38-9895E3A34848}">
            <xm:f>AND($A2="Serviço",OR($G2="",ISNA(MATCH($G2,DADOS!$AQ$3:$AQ$221,0))))</xm:f>
            <x14:dxf>
              <fill>
                <patternFill>
                  <bgColor rgb="FFFF0000"/>
                </patternFill>
              </fill>
            </x14:dxf>
          </x14:cfRule>
          <xm:sqref>G2</xm:sqref>
        </x14:conditionalFormatting>
      </x14:conditionalFormatting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4"/>
  <dimension ref="A1:D2"/>
  <sheetViews>
    <sheetView workbookViewId="0"/>
  </sheetViews>
  <sheetFormatPr defaultColWidth="9.140625" defaultRowHeight="15" x14ac:dyDescent="0.25"/>
  <cols>
    <col min="1" max="1" width="15" style="517" customWidth="1"/>
    <col min="2" max="2" width="70" style="517" customWidth="1"/>
    <col min="3" max="3" width="10" style="517" customWidth="1"/>
    <col min="4" max="4" width="20" style="517" customWidth="1"/>
    <col min="5" max="16384" width="9.140625" style="517"/>
  </cols>
  <sheetData>
    <row r="1" spans="1:4" x14ac:dyDescent="0.25">
      <c r="A1" s="516" t="s">
        <v>933</v>
      </c>
      <c r="B1" s="516" t="s">
        <v>934</v>
      </c>
      <c r="C1" s="516" t="s">
        <v>785</v>
      </c>
      <c r="D1" s="516" t="s">
        <v>935</v>
      </c>
    </row>
    <row r="2" spans="1:4" ht="45" customHeight="1" x14ac:dyDescent="0.25">
      <c r="A2" s="606"/>
      <c r="B2" s="606"/>
      <c r="C2" s="659"/>
      <c r="D2" s="603"/>
    </row>
  </sheetData>
  <sheetProtection algorithmName="SHA-512" hashValue="LQIoqYAcMeJypLsJOS/ns1OqHn+iZeW4aJ20ULXLvPiop1U24UL4wfXLIdB6xU050dmUycTm5/sFLirsHvN9Dg==" saltValue="1GaLuFNnkVwoOZRI58cvHw==" spinCount="100000" sheet="1" objects="1" scenarios="1"/>
  <conditionalFormatting sqref="A2 C2">
    <cfRule type="expression" dxfId="3" priority="5">
      <formula>OR(NOT(ISNUMBER(A2)),A2&lt;&gt;ROUND(A2,0),A2&lt;1,A2&gt;999)</formula>
    </cfRule>
  </conditionalFormatting>
  <conditionalFormatting sqref="B2">
    <cfRule type="expression" dxfId="2" priority="4">
      <formula>OR(B2="",LEN(B2)&gt;100)</formula>
    </cfRule>
  </conditionalFormatting>
  <conditionalFormatting sqref="D2">
    <cfRule type="expression" dxfId="1" priority="2">
      <formula>$A2="Macrosserviço"</formula>
    </cfRule>
  </conditionalFormatting>
  <conditionalFormatting sqref="D2">
    <cfRule type="expression" dxfId="0" priority="1">
      <formula>OR(NOT(ISNUMBER(D2)),D2&lt;&gt;ROUND(D2,2),D2&lt;=0,D2&gt;100)</formula>
    </cfRule>
  </conditionalFormatting>
  <pageMargins left="0.78740157480314998" right="0.78740157480314998" top="0.78740157480314998" bottom="0.78740157480314998" header="5.7086614173228396" footer="0.59055118110236204"/>
  <pageSetup paperSize="9" orientation="portrait" r:id="rId1"/>
  <headerFooter>
    <oddHeader>&amp;L_</oddHeader>
    <oddFooter>&amp;LPMv3.10&amp;R&amp;P / &amp;N</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15"/>
  <dimension ref="A1:O25"/>
  <sheetViews>
    <sheetView showGridLines="0" tabSelected="1" zoomScaleNormal="100" zoomScaleSheetLayoutView="85" workbookViewId="0"/>
  </sheetViews>
  <sheetFormatPr defaultRowHeight="12.75" x14ac:dyDescent="0.2"/>
  <cols>
    <col min="1" max="1" width="2.85546875" customWidth="1"/>
    <col min="2" max="2" width="5.5703125" customWidth="1"/>
    <col min="3" max="3" width="38.5703125" customWidth="1"/>
    <col min="4" max="4" width="5.5703125" customWidth="1"/>
    <col min="5" max="5" width="38.5703125" customWidth="1"/>
    <col min="6" max="6" width="5.5703125" customWidth="1"/>
    <col min="7" max="7" width="38.5703125" customWidth="1"/>
    <col min="8" max="8" width="5.5703125" customWidth="1"/>
    <col min="9" max="9" width="2.85546875" customWidth="1"/>
    <col min="10" max="10" width="19" customWidth="1"/>
    <col min="11" max="11" width="3" customWidth="1"/>
    <col min="13" max="13" width="1.5703125" customWidth="1"/>
    <col min="14" max="14" width="38.85546875" customWidth="1"/>
  </cols>
  <sheetData>
    <row r="1" spans="1:15" ht="15" customHeight="1" x14ac:dyDescent="0.2">
      <c r="A1" s="405"/>
      <c r="B1" s="405"/>
      <c r="C1" s="405"/>
      <c r="D1" s="405"/>
      <c r="E1" s="405"/>
      <c r="F1" s="405"/>
      <c r="G1" s="405"/>
      <c r="H1" s="405"/>
      <c r="I1" s="405"/>
      <c r="J1" s="492" t="s">
        <v>84</v>
      </c>
      <c r="K1" s="511" t="b">
        <v>1</v>
      </c>
    </row>
    <row r="2" spans="1:15" ht="22.5" customHeight="1" x14ac:dyDescent="0.2">
      <c r="A2" s="405"/>
      <c r="B2" s="407"/>
      <c r="C2" s="407"/>
      <c r="D2" s="407"/>
      <c r="E2" s="664" t="str">
        <f>CHOOSE(MATCH(Objeto,{"PM","PO"}),"PLANILHA MÚLTIPLA ","PLANILHA ORÇAMENTÁRIA ")&amp; Versao</f>
        <v>PLANILHA MÚLTIPLA v3.10</v>
      </c>
      <c r="F2" s="664"/>
      <c r="G2" s="664"/>
      <c r="H2" s="409"/>
      <c r="I2" s="407"/>
      <c r="J2" s="492" t="s">
        <v>85</v>
      </c>
      <c r="K2" s="511" t="b">
        <v>1</v>
      </c>
    </row>
    <row r="3" spans="1:15" ht="22.5" customHeight="1" x14ac:dyDescent="0.2">
      <c r="A3" s="405"/>
      <c r="B3" s="407"/>
      <c r="C3" s="407"/>
      <c r="D3" s="407"/>
      <c r="E3" s="664"/>
      <c r="F3" s="664"/>
      <c r="G3" s="664"/>
      <c r="H3" s="409"/>
      <c r="I3" s="407"/>
      <c r="O3" s="614">
        <v>1</v>
      </c>
    </row>
    <row r="4" spans="1:15" ht="17.100000000000001" customHeight="1" x14ac:dyDescent="0.2">
      <c r="A4" s="405"/>
      <c r="B4" s="407"/>
      <c r="C4" s="407"/>
      <c r="D4" s="407"/>
      <c r="E4" s="407"/>
      <c r="F4" s="408"/>
      <c r="G4" s="409"/>
      <c r="H4" s="409"/>
      <c r="I4" s="407"/>
      <c r="J4" s="152" t="str">
        <f>IF(VALUE(MENU!$O$4)=2,"BM","PLE")</f>
        <v>BM</v>
      </c>
      <c r="O4" s="614">
        <v>2</v>
      </c>
    </row>
    <row r="5" spans="1:15" ht="17.100000000000001" customHeight="1" thickBot="1" x14ac:dyDescent="0.25">
      <c r="A5" s="405"/>
      <c r="B5" s="407"/>
      <c r="C5" s="407"/>
      <c r="D5" s="407"/>
      <c r="E5" s="407"/>
      <c r="F5" s="408"/>
      <c r="G5" s="409"/>
      <c r="H5" s="409"/>
      <c r="I5" s="407"/>
      <c r="J5" s="152" t="s">
        <v>86</v>
      </c>
    </row>
    <row r="6" spans="1:15" ht="21" customHeight="1" thickBot="1" x14ac:dyDescent="0.25">
      <c r="A6" s="405"/>
      <c r="B6" s="405"/>
      <c r="C6" s="405"/>
      <c r="D6" s="405"/>
      <c r="E6" s="510" t="s">
        <v>87</v>
      </c>
      <c r="F6" s="406"/>
      <c r="G6" s="510" t="s">
        <v>88</v>
      </c>
      <c r="H6" s="405"/>
      <c r="I6" s="405"/>
      <c r="J6" s="152" t="s">
        <v>89</v>
      </c>
    </row>
    <row r="7" spans="1:15" x14ac:dyDescent="0.2">
      <c r="A7" s="405"/>
      <c r="B7" s="405"/>
      <c r="C7" s="405"/>
      <c r="D7" s="405"/>
      <c r="E7" s="405"/>
      <c r="F7" s="405"/>
      <c r="G7" s="405"/>
      <c r="H7" s="405"/>
      <c r="I7" s="405"/>
      <c r="J7" s="152" t="s">
        <v>76</v>
      </c>
      <c r="K7" s="615"/>
      <c r="L7" s="616"/>
      <c r="M7" s="616"/>
      <c r="N7" s="617"/>
    </row>
    <row r="8" spans="1:15" ht="21" customHeight="1" x14ac:dyDescent="0.2">
      <c r="A8" s="407"/>
      <c r="B8" s="663" t="str">
        <f>IF($O$3&lt;&gt;2,"DOCUMENTAÇÃO DA PROPOSTA","PROPOSTA: Para visualizar/preencher esta seção, altere o TIPO DE ORÇAMENTO para 'Proposto'")</f>
        <v>DOCUMENTAÇÃO DA PROPOSTA</v>
      </c>
      <c r="C8" s="663"/>
      <c r="D8" s="663"/>
      <c r="E8" s="663"/>
      <c r="F8" s="663"/>
      <c r="G8" s="663"/>
      <c r="H8" s="663"/>
      <c r="I8" s="405"/>
      <c r="J8" s="152" t="s">
        <v>78</v>
      </c>
      <c r="K8" s="413"/>
      <c r="L8" s="414" t="s">
        <v>90</v>
      </c>
      <c r="M8" s="414"/>
      <c r="N8" s="415"/>
    </row>
    <row r="9" spans="1:15" ht="13.5" thickBot="1" x14ac:dyDescent="0.25">
      <c r="A9" s="405"/>
      <c r="B9" s="405"/>
      <c r="C9" s="405"/>
      <c r="D9" s="405"/>
      <c r="E9" s="405"/>
      <c r="F9" s="405"/>
      <c r="G9" s="405"/>
      <c r="H9" s="405"/>
      <c r="I9" s="405"/>
      <c r="K9" s="413"/>
      <c r="L9" t="s">
        <v>91</v>
      </c>
      <c r="N9" s="415"/>
    </row>
    <row r="10" spans="1:15" ht="21" customHeight="1" thickBot="1" x14ac:dyDescent="0.25">
      <c r="A10" s="405"/>
      <c r="B10" s="405"/>
      <c r="C10" s="479" t="str">
        <f>IF(TIPOORCAMENTO&lt;&gt;"Proposto","","                    BDI                    ")</f>
        <v xml:space="preserve">                    BDI                    </v>
      </c>
      <c r="D10" s="406"/>
      <c r="E10" s="479" t="str">
        <f>IF(TIPOORCAMENTO&lt;&gt;"Proposto","","             ORÇAMENTO             ")</f>
        <v xml:space="preserve">             ORÇAMENTO             </v>
      </c>
      <c r="F10" s="406"/>
      <c r="G10" s="481" t="str">
        <f>IF(TIPOORCAMENTO&lt;&gt;"Proposto","","MEMÓRIA DE CÁLCULO / PLQ")</f>
        <v>MEMÓRIA DE CÁLCULO / PLQ</v>
      </c>
      <c r="H10" s="405"/>
      <c r="I10" s="405"/>
      <c r="K10" s="413"/>
      <c r="L10" s="5"/>
      <c r="M10" s="3"/>
      <c r="N10" s="416" t="s">
        <v>92</v>
      </c>
    </row>
    <row r="11" spans="1:15" ht="13.5" thickBot="1" x14ac:dyDescent="0.25">
      <c r="A11" s="405"/>
      <c r="B11" s="405"/>
      <c r="C11" s="406"/>
      <c r="D11" s="406"/>
      <c r="E11" s="406"/>
      <c r="F11" s="406"/>
      <c r="G11" s="406"/>
      <c r="H11" s="405"/>
      <c r="I11" s="405"/>
      <c r="K11" s="413"/>
      <c r="N11" s="415"/>
    </row>
    <row r="12" spans="1:15" ht="21" customHeight="1" thickBot="1" x14ac:dyDescent="0.25">
      <c r="A12" s="405"/>
      <c r="B12" s="405"/>
      <c r="C12" s="479" t="str">
        <f>IF(TIPOORCAMENTO&lt;&gt;"Proposto","","                    QCI                    ")</f>
        <v xml:space="preserve">                    QCI                    </v>
      </c>
      <c r="D12" s="406"/>
      <c r="E12" s="480" t="str">
        <f>IF(TIPOORCAMENTO&lt;&gt;"Proposto","","CRONOGRAMA FÍSICO-FINANCEIRO")</f>
        <v>CRONOGRAMA FÍSICO-FINANCEIRO</v>
      </c>
      <c r="F12" s="406"/>
      <c r="G12" s="406"/>
      <c r="H12" s="405"/>
      <c r="I12" s="405"/>
      <c r="K12" s="413"/>
      <c r="L12" s="6"/>
      <c r="M12" s="3"/>
      <c r="N12" s="416" t="s">
        <v>93</v>
      </c>
    </row>
    <row r="13" spans="1:15" x14ac:dyDescent="0.2">
      <c r="A13" s="405"/>
      <c r="B13" s="405"/>
      <c r="C13" s="405"/>
      <c r="D13" s="405"/>
      <c r="E13" s="405"/>
      <c r="F13" s="405"/>
      <c r="G13" s="405"/>
      <c r="H13" s="405"/>
      <c r="I13" s="405"/>
      <c r="K13" s="413"/>
      <c r="N13" s="415"/>
    </row>
    <row r="14" spans="1:15" x14ac:dyDescent="0.2">
      <c r="A14" s="405"/>
      <c r="B14" s="405"/>
      <c r="C14" s="405" t="str">
        <f ca="1">IF(TIPOORCAMENTO&lt;&gt;"Proposto","","Obs: Composições e Cotações devem ser preenchidas diretamente no arquivo Referência "&amp;IF(ISBLANK(Import.DataBase),"mm-aaaa",TEXT(Import.DataBase,"mm-aaaa"))&amp;".xlsm.")</f>
        <v>Obs: Composições e Cotações devem ser preenchidas diretamente no arquivo Referência 03-2025.xlsm.</v>
      </c>
      <c r="D14" s="405"/>
      <c r="E14" s="405"/>
      <c r="F14" s="405"/>
      <c r="G14" s="405"/>
      <c r="H14" s="405"/>
      <c r="I14" s="405"/>
      <c r="K14" s="413"/>
      <c r="N14" s="415"/>
    </row>
    <row r="15" spans="1:15" x14ac:dyDescent="0.2">
      <c r="A15" s="405"/>
      <c r="B15" s="405"/>
      <c r="C15" s="405"/>
      <c r="D15" s="405"/>
      <c r="E15" s="405"/>
      <c r="F15" s="405"/>
      <c r="G15" s="405"/>
      <c r="H15" s="405"/>
      <c r="I15" s="405"/>
      <c r="K15" s="413"/>
      <c r="L15" t="s">
        <v>94</v>
      </c>
      <c r="N15" s="415"/>
    </row>
    <row r="16" spans="1:15" ht="21" customHeight="1" x14ac:dyDescent="0.2">
      <c r="A16" s="405"/>
      <c r="B16" s="663" t="str">
        <f>IF($O$3&lt;&gt;2,"PÓS-LICITADO: Para visualizar/preencher esta seção, altere o TIPO DE ORÇAMENTO para 'Licitado'","RESULTADO DO PROCESSO LICITATÓRIO")</f>
        <v>PÓS-LICITADO: Para visualizar/preencher esta seção, altere o TIPO DE ORÇAMENTO para 'Licitado'</v>
      </c>
      <c r="C16" s="663"/>
      <c r="D16" s="663"/>
      <c r="E16" s="663"/>
      <c r="F16" s="663"/>
      <c r="G16" s="663"/>
      <c r="H16" s="663"/>
      <c r="I16" s="405"/>
      <c r="K16" s="413"/>
      <c r="L16" s="482"/>
      <c r="M16" s="3"/>
      <c r="N16" s="416" t="s">
        <v>95</v>
      </c>
    </row>
    <row r="17" spans="1:14" ht="13.5" thickBot="1" x14ac:dyDescent="0.25">
      <c r="A17" s="405"/>
      <c r="B17" s="405"/>
      <c r="C17" s="405"/>
      <c r="D17" s="405"/>
      <c r="E17" s="405"/>
      <c r="F17" s="405"/>
      <c r="G17" s="405"/>
      <c r="H17" s="405"/>
      <c r="I17" s="405"/>
      <c r="K17" s="413"/>
      <c r="N17" s="415"/>
    </row>
    <row r="18" spans="1:14" ht="21" customHeight="1" thickBot="1" x14ac:dyDescent="0.25">
      <c r="A18" s="405"/>
      <c r="B18" s="405"/>
      <c r="C18" s="479" t="str">
        <f>IF(TIPOORCAMENTO&lt;&gt;"Licitado","","             ORÇAMENTO             ")</f>
        <v/>
      </c>
      <c r="D18" s="406"/>
      <c r="E18" s="479" t="str">
        <f>IF(TIPOORCAMENTO&lt;&gt;"Licitado","","                    QCI                    ")</f>
        <v/>
      </c>
      <c r="F18" s="406"/>
      <c r="G18" s="480" t="str">
        <f>IF(TIPOORCAMENTO&lt;&gt;"Licitado","","CRONOGRAMA FÍSICO-FINANCEIRO")</f>
        <v/>
      </c>
      <c r="H18" s="405"/>
      <c r="I18" s="405"/>
      <c r="K18" s="413"/>
      <c r="L18" s="410"/>
      <c r="M18" s="3"/>
      <c r="N18" s="416" t="s">
        <v>96</v>
      </c>
    </row>
    <row r="19" spans="1:14" x14ac:dyDescent="0.2">
      <c r="A19" s="405"/>
      <c r="B19" s="405"/>
      <c r="C19" s="405"/>
      <c r="D19" s="405"/>
      <c r="E19" s="405"/>
      <c r="F19" s="405"/>
      <c r="G19" s="405"/>
      <c r="H19" s="405"/>
      <c r="I19" s="405"/>
      <c r="K19" s="417"/>
      <c r="L19" s="418"/>
      <c r="M19" s="418"/>
      <c r="N19" s="419"/>
    </row>
    <row r="20" spans="1:14" ht="21" customHeight="1" x14ac:dyDescent="0.2">
      <c r="A20" s="407"/>
      <c r="B20" s="663" t="str">
        <f>IF($O$3&lt;&gt;2,"ACOMPANHAMENTO: Para visualizar/preencher esta seção, altere o TIPO DE ORÇAMENTO para 'Licitado'","ACOMPANHAMENTO DO EMPREENDIMENTO")</f>
        <v>ACOMPANHAMENTO: Para visualizar/preencher esta seção, altere o TIPO DE ORÇAMENTO para 'Licitado'</v>
      </c>
      <c r="C20" s="663"/>
      <c r="D20" s="663"/>
      <c r="E20" s="663"/>
      <c r="F20" s="663"/>
      <c r="G20" s="663"/>
      <c r="H20" s="663"/>
      <c r="I20" s="405"/>
    </row>
    <row r="21" spans="1:14" ht="13.5" thickBot="1" x14ac:dyDescent="0.25">
      <c r="A21" s="405"/>
      <c r="B21" s="405"/>
      <c r="C21" s="405"/>
      <c r="D21" s="405"/>
      <c r="E21" s="405"/>
      <c r="F21" s="405"/>
      <c r="G21" s="405"/>
      <c r="H21" s="405"/>
      <c r="I21" s="405"/>
    </row>
    <row r="22" spans="1:14" ht="21" customHeight="1" thickBot="1" x14ac:dyDescent="0.25">
      <c r="A22" s="405"/>
      <c r="B22" s="405"/>
      <c r="C22" s="483" t="e" cm="1">
        <f t="array" aca="1" ref="C22" ca="1">IF(OR(_xlfn.SINGLE(TIPOORCAMENTO)&lt;&gt;"Licitado",ACOMPANHAMENTO&lt;&gt;"PLE"),"","PLAN. DE LEVANT. DE EVENTOS - PLE")</f>
        <v>#NAME?</v>
      </c>
      <c r="D22" s="406"/>
      <c r="E22" s="479" t="str">
        <f>IF(TIPOORCAMENTO&lt;&gt;"Licitado","","                    RRE                    ")</f>
        <v/>
      </c>
      <c r="F22" s="406"/>
      <c r="G22" s="481" t="e" cm="1">
        <f t="array" aca="1" ref="G22" ca="1">IF(OR(_xlfn.SINGLE(TIPOORCAMENTO)&lt;&gt;"Licitado",ACOMPANHAMENTO&lt;&gt;"BM"),"","  BOLETIM DE MEDIÇÃO - BM  ")</f>
        <v>#NAME?</v>
      </c>
      <c r="H22" s="405"/>
      <c r="I22" s="405"/>
    </row>
    <row r="23" spans="1:14" ht="13.5" thickBot="1" x14ac:dyDescent="0.25">
      <c r="A23" s="405"/>
      <c r="B23" s="405"/>
      <c r="C23" s="406"/>
      <c r="D23" s="406"/>
      <c r="E23" s="406"/>
      <c r="F23" s="406"/>
      <c r="G23" s="406"/>
      <c r="H23" s="405"/>
      <c r="I23" s="405"/>
    </row>
    <row r="24" spans="1:14" ht="21" customHeight="1" thickBot="1" x14ac:dyDescent="0.25">
      <c r="A24" s="405"/>
      <c r="B24" s="405"/>
      <c r="C24" s="406"/>
      <c r="D24" s="406"/>
      <c r="E24" s="483" t="str">
        <f>IF(TIPOORCAMENTO&lt;&gt;"Licitado","","OF. DE SOLICITAÇÃO DE DESBLOQUEIO")</f>
        <v/>
      </c>
      <c r="F24" s="406"/>
      <c r="G24" s="406"/>
      <c r="H24" s="405"/>
      <c r="I24" s="405"/>
    </row>
    <row r="25" spans="1:14" x14ac:dyDescent="0.2">
      <c r="A25" s="405"/>
      <c r="B25" s="405"/>
      <c r="C25" s="405"/>
      <c r="D25" s="405"/>
      <c r="E25" s="405"/>
      <c r="F25" s="405"/>
      <c r="G25" s="405"/>
      <c r="H25" s="405"/>
      <c r="I25" s="405"/>
    </row>
  </sheetData>
  <sheetProtection password="BD1F" sheet="1" objects="1" scenarios="1" autoFilter="0"/>
  <mergeCells count="4">
    <mergeCell ref="B20:H20"/>
    <mergeCell ref="B8:H8"/>
    <mergeCell ref="E2:G3"/>
    <mergeCell ref="B16:H16"/>
  </mergeCells>
  <phoneticPr fontId="38" type="noConversion"/>
  <conditionalFormatting sqref="C10:G14">
    <cfRule type="expression" dxfId="322" priority="70" stopIfTrue="1">
      <formula>TIPOORCAMENTO="Licitado"</formula>
    </cfRule>
  </conditionalFormatting>
  <conditionalFormatting sqref="C18:G18 E22:E24">
    <cfRule type="expression" dxfId="321" priority="71" stopIfTrue="1">
      <formula>TIPOORCAMENTO&lt;&gt;"Licitado"</formula>
    </cfRule>
  </conditionalFormatting>
  <conditionalFormatting sqref="C22">
    <cfRule type="expression" dxfId="320" priority="73" stopIfTrue="1">
      <formula>OR(TIPOORCAMENTO&lt;&gt;"Licitado",ACOMPANHAMENTO&lt;&gt;"PLE")</formula>
    </cfRule>
  </conditionalFormatting>
  <conditionalFormatting sqref="G22">
    <cfRule type="expression" dxfId="319" priority="74" stopIfTrue="1">
      <formula>OR(TIPOORCAMENTO&lt;&gt;"Licitado",ACOMPANHAMENTO&lt;&gt;"BM")</formula>
    </cfRule>
  </conditionalFormatting>
  <conditionalFormatting sqref="B16:H16 B20:H20">
    <cfRule type="expression" dxfId="318" priority="599" stopIfTrue="1">
      <formula>$O$3&lt;&gt;2</formula>
    </cfRule>
  </conditionalFormatting>
  <conditionalFormatting sqref="B8:H8">
    <cfRule type="expression" dxfId="317" priority="601" stopIfTrue="1">
      <formula>$O$3&lt;&gt;1</formula>
    </cfRule>
  </conditionalFormatting>
  <hyperlinks>
    <hyperlink ref="E6" location="DADOS!E3" display="DADOS DO CONTRATO"/>
    <hyperlink ref="G6" location="Novo!A1" display="NOVIDADES DA VERSÃO"/>
    <hyperlink ref="C10" location="BDI!Q11" display="BDI!Q11"/>
    <hyperlink ref="E10" location="ORÇAMENTO!M13" display="ORÇAMENTO"/>
    <hyperlink ref="G10" location="CÁLCULO!D13" display="MEMÓRIA DE CÁLCULO / PLQ"/>
    <hyperlink ref="E12" location="CRONO!G12" display="CRONOGRAMA FÍSICO-FINANCEIRO"/>
    <hyperlink ref="C18" location="ORÇAMENTO!AM15" display="             ORÇAMENTO             "/>
    <hyperlink ref="E18" location="QCI!D13" display="                    QCI                    "/>
    <hyperlink ref="G18" location="CRONO!G12" display="CRONOGRAMA FÍSICO-FINANCEIRO"/>
    <hyperlink ref="E22" location="RRE!E13" display="                    RRE                    "/>
    <hyperlink ref="G22" location="BM!D13" display="BM!D13"/>
    <hyperlink ref="E24" location="Ofício!C6" display="OF. DE SOLICITAÇÃO DE DESBLOQUEIO"/>
    <hyperlink ref="C12" location="QCI!D13" display="QCI!D13"/>
    <hyperlink ref="C22" location="PLE!J8" display="PLAN. DE LEVANT. DE EVENTOS - PLE"/>
  </hyperlinks>
  <pageMargins left="0.78740157480314998" right="0.78740157480314998" top="0.78740157480314998" bottom="0.78740157480314998" header="5.7086614173228396" footer="0.59055118110236204"/>
  <pageSetup paperSize="9" scale="58" firstPageNumber="0" orientation="portrait" horizontalDpi="300" verticalDpi="300" r:id="rId1"/>
  <headerFooter alignWithMargins="0">
    <oddHeader>&amp;L_</oddHeader>
    <oddFooter>&amp;LPMv3.10&amp;R&amp;P / &amp;N</oddFooter>
  </headerFooter>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5384" r:id="rId4" name="Group Box 24">
              <controlPr defaultSize="0" autoFill="0" autoPict="0">
                <anchor moveWithCells="1" sizeWithCells="1">
                  <from>
                    <xdr:col>2</xdr:col>
                    <xdr:colOff>1362075</xdr:colOff>
                    <xdr:row>4</xdr:row>
                    <xdr:rowOff>0</xdr:rowOff>
                  </from>
                  <to>
                    <xdr:col>3</xdr:col>
                    <xdr:colOff>19050</xdr:colOff>
                    <xdr:row>6</xdr:row>
                    <xdr:rowOff>9525</xdr:rowOff>
                  </to>
                </anchor>
              </controlPr>
            </control>
          </mc:Choice>
        </mc:AlternateContent>
        <mc:AlternateContent xmlns:mc="http://schemas.openxmlformats.org/markup-compatibility/2006">
          <mc:Choice Requires="x14">
            <control shapeId="15454" r:id="rId5" name="Drop Down 94">
              <controlPr defaultSize="0" autoLine="0" autoPict="0" macro="[0]!Exibir_Ocultar_Abas">
                <anchor moveWithCells="1" sizeWithCells="1">
                  <from>
                    <xdr:col>2</xdr:col>
                    <xdr:colOff>1485900</xdr:colOff>
                    <xdr:row>4</xdr:row>
                    <xdr:rowOff>161925</xdr:rowOff>
                  </from>
                  <to>
                    <xdr:col>2</xdr:col>
                    <xdr:colOff>2419350</xdr:colOff>
                    <xdr:row>5</xdr:row>
                    <xdr:rowOff>171450</xdr:rowOff>
                  </to>
                </anchor>
              </controlPr>
            </control>
          </mc:Choice>
        </mc:AlternateContent>
        <mc:AlternateContent xmlns:mc="http://schemas.openxmlformats.org/markup-compatibility/2006">
          <mc:Choice Requires="x14">
            <control shapeId="15377" r:id="rId6" name="Group Box 17">
              <controlPr defaultSize="0" autoFill="0" autoPict="0" altText="Tipo de Orçamento          ">
                <anchor moveWithCells="1" sizeWithCells="1">
                  <from>
                    <xdr:col>2</xdr:col>
                    <xdr:colOff>9525</xdr:colOff>
                    <xdr:row>4</xdr:row>
                    <xdr:rowOff>0</xdr:rowOff>
                  </from>
                  <to>
                    <xdr:col>2</xdr:col>
                    <xdr:colOff>1266825</xdr:colOff>
                    <xdr:row>6</xdr:row>
                    <xdr:rowOff>9525</xdr:rowOff>
                  </to>
                </anchor>
              </controlPr>
            </control>
          </mc:Choice>
        </mc:AlternateContent>
        <mc:AlternateContent xmlns:mc="http://schemas.openxmlformats.org/markup-compatibility/2006">
          <mc:Choice Requires="x14">
            <control shapeId="15453" r:id="rId7" name="Drop Down 93">
              <controlPr defaultSize="0" autoLine="0" autoPict="0" macro="[0]!Exibir_Ocultar_Abas">
                <anchor moveWithCells="1" sizeWithCells="1">
                  <from>
                    <xdr:col>2</xdr:col>
                    <xdr:colOff>133350</xdr:colOff>
                    <xdr:row>4</xdr:row>
                    <xdr:rowOff>161925</xdr:rowOff>
                  </from>
                  <to>
                    <xdr:col>2</xdr:col>
                    <xdr:colOff>1114425</xdr:colOff>
                    <xdr:row>5</xdr:row>
                    <xdr:rowOff>171450</xdr:rowOff>
                  </to>
                </anchor>
              </controlPr>
            </control>
          </mc:Choice>
        </mc:AlternateContent>
        <mc:AlternateContent xmlns:mc="http://schemas.openxmlformats.org/markup-compatibility/2006">
          <mc:Choice Requires="x14">
            <control shapeId="15455" r:id="rId8" name="Check Box 95">
              <controlPr defaultSize="0" autoFill="0" autoLine="0" autoPict="0">
                <anchor moveWithCells="1">
                  <from>
                    <xdr:col>10</xdr:col>
                    <xdr:colOff>38100</xdr:colOff>
                    <xdr:row>0</xdr:row>
                    <xdr:rowOff>47625</xdr:rowOff>
                  </from>
                  <to>
                    <xdr:col>13</xdr:col>
                    <xdr:colOff>2371725</xdr:colOff>
                    <xdr:row>1</xdr:row>
                    <xdr:rowOff>28575</xdr:rowOff>
                  </to>
                </anchor>
              </controlPr>
            </control>
          </mc:Choice>
        </mc:AlternateContent>
        <mc:AlternateContent xmlns:mc="http://schemas.openxmlformats.org/markup-compatibility/2006">
          <mc:Choice Requires="x14">
            <control shapeId="15456" r:id="rId9" name="Check Box 96">
              <controlPr defaultSize="0" autoFill="0" autoLine="0" autoPict="0">
                <anchor moveWithCells="1">
                  <from>
                    <xdr:col>10</xdr:col>
                    <xdr:colOff>38100</xdr:colOff>
                    <xdr:row>1</xdr:row>
                    <xdr:rowOff>66675</xdr:rowOff>
                  </from>
                  <to>
                    <xdr:col>13</xdr:col>
                    <xdr:colOff>2390775</xdr:colOff>
                    <xdr:row>1</xdr:row>
                    <xdr:rowOff>228600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2">
    <pageSetUpPr fitToPage="1"/>
  </sheetPr>
  <dimension ref="B1:AR222"/>
  <sheetViews>
    <sheetView showGridLines="0" zoomScaleNormal="100" workbookViewId="0">
      <pane ySplit="2" topLeftCell="A3" activePane="bottomLeft" state="frozen"/>
      <selection pane="bottomLeft"/>
    </sheetView>
  </sheetViews>
  <sheetFormatPr defaultRowHeight="12.75" x14ac:dyDescent="0.2"/>
  <cols>
    <col min="1" max="1" width="10.5703125" customWidth="1"/>
    <col min="2" max="2" width="42.5703125" style="3" customWidth="1"/>
    <col min="3" max="3" width="53.42578125" style="3" customWidth="1"/>
    <col min="4" max="4" width="80.5703125" customWidth="1"/>
    <col min="5" max="6" width="9.140625" customWidth="1"/>
    <col min="7" max="7" width="14.42578125" hidden="1" customWidth="1"/>
    <col min="8" max="10" width="9.140625" hidden="1" customWidth="1"/>
    <col min="11" max="11" width="9.140625" style="7" hidden="1" customWidth="1"/>
    <col min="12" max="43" width="9.140625" hidden="1" customWidth="1"/>
    <col min="44" max="44" width="15.5703125" hidden="1" customWidth="1"/>
    <col min="45" max="45" width="9.140625" customWidth="1"/>
  </cols>
  <sheetData>
    <row r="1" spans="2:44" ht="15.75" customHeight="1" x14ac:dyDescent="0.25">
      <c r="B1" s="8" t="s">
        <v>97</v>
      </c>
      <c r="C1" s="570"/>
      <c r="D1" s="522" t="str">
        <f ca="1">IF(D3&lt;&gt;"","Falta preencher os Dados do Contrato",IF(D15&lt;&gt;"","Falta preencher os Dados do Empreendimento",IF(D21&lt;&gt;"","Falta preencher os Dados do Responsável pelo Orçamento",IF(D27&lt;&gt;"","Falta preencher os Dados do Responsável pelo Tomador",IF(D31&lt;&gt;"","Falta definir o método de arredondamento das frentes de obra",IF(D35&lt;&gt;"","Falta preencher os Dados da Licitação",IF(D46&lt;&gt;"","Falta preencher os Dados da Obra",IF(D50&lt;&gt;"","Falta preencher os Dados do Responsável pela Fiscalização",""))))))))</f>
        <v>Falta preencher os Dados do Contrato</v>
      </c>
      <c r="H1" s="618"/>
      <c r="I1" s="666" t="s">
        <v>98</v>
      </c>
      <c r="J1" s="666"/>
      <c r="K1" s="666"/>
      <c r="L1" s="666"/>
      <c r="M1" s="666"/>
      <c r="N1" s="666"/>
      <c r="O1" s="666"/>
      <c r="P1" s="666"/>
      <c r="Q1" s="666"/>
      <c r="R1" s="666"/>
      <c r="S1" s="666"/>
      <c r="T1" s="666"/>
      <c r="U1" s="666"/>
      <c r="V1" s="666"/>
      <c r="W1" s="666"/>
      <c r="X1" s="666"/>
      <c r="Y1" s="666"/>
      <c r="Z1" s="666"/>
      <c r="AA1" s="666"/>
      <c r="AB1" s="666"/>
      <c r="AC1" s="666"/>
      <c r="AD1" s="666"/>
      <c r="AE1" s="666"/>
      <c r="AF1" s="666"/>
      <c r="AG1" s="666"/>
      <c r="AH1" s="666"/>
      <c r="AI1" s="666"/>
      <c r="AJ1" s="666"/>
      <c r="AK1" s="666"/>
      <c r="AL1" s="666"/>
      <c r="AM1" s="666"/>
      <c r="AN1" s="666"/>
      <c r="AO1" s="666"/>
      <c r="AQ1" s="619" t="s">
        <v>99</v>
      </c>
      <c r="AR1" s="620"/>
    </row>
    <row r="2" spans="2:44" ht="12.75" customHeight="1" thickBot="1" x14ac:dyDescent="0.25">
      <c r="B2" s="8"/>
      <c r="G2" s="9" t="s">
        <v>100</v>
      </c>
      <c r="H2" s="10" t="s">
        <v>101</v>
      </c>
      <c r="I2" s="11">
        <f>COUNTA(H:H)-1</f>
        <v>3</v>
      </c>
      <c r="J2" s="10" t="s">
        <v>102</v>
      </c>
      <c r="K2" s="11">
        <f>COUNTA(J:J)-1</f>
        <v>6</v>
      </c>
      <c r="L2" s="10" t="s">
        <v>103</v>
      </c>
      <c r="M2" s="11">
        <f>COUNTA(L:L)-1</f>
        <v>6</v>
      </c>
      <c r="N2" s="10" t="s">
        <v>104</v>
      </c>
      <c r="O2" s="11">
        <f>COUNTA(N:N)-1</f>
        <v>6</v>
      </c>
      <c r="P2" s="10" t="s">
        <v>105</v>
      </c>
      <c r="Q2" s="11">
        <f>COUNTA(P:P)-1</f>
        <v>11</v>
      </c>
      <c r="R2" s="10" t="s">
        <v>106</v>
      </c>
      <c r="S2" s="11">
        <f>COUNTA(R:R)-1</f>
        <v>8</v>
      </c>
      <c r="T2" s="10" t="s">
        <v>107</v>
      </c>
      <c r="U2" s="11">
        <f>COUNTA(T:T)-1</f>
        <v>4</v>
      </c>
      <c r="V2" s="10" t="s">
        <v>108</v>
      </c>
      <c r="W2" s="11">
        <f>COUNTA(V:V)-1</f>
        <v>6</v>
      </c>
      <c r="X2" s="10" t="s">
        <v>109</v>
      </c>
      <c r="Y2" s="11">
        <f>COUNTA(X:X)-1</f>
        <v>2</v>
      </c>
      <c r="Z2" s="10" t="s">
        <v>110</v>
      </c>
      <c r="AA2" s="11">
        <f>COUNTA(Z:Z)-1</f>
        <v>2</v>
      </c>
      <c r="AB2" s="10" t="s">
        <v>111</v>
      </c>
      <c r="AC2" s="11">
        <f>COUNTA(AB:AB)-1</f>
        <v>2</v>
      </c>
      <c r="AD2" s="10" t="s">
        <v>112</v>
      </c>
      <c r="AE2" s="11">
        <f>COUNTA(AD:AD)-1</f>
        <v>1</v>
      </c>
      <c r="AF2" s="10" t="s">
        <v>113</v>
      </c>
      <c r="AG2" s="11">
        <f>COUNTA(AF:AF)-1</f>
        <v>1</v>
      </c>
      <c r="AH2" s="10" t="s">
        <v>114</v>
      </c>
      <c r="AI2" s="11">
        <f>COUNTA(AH:AH)-1</f>
        <v>1</v>
      </c>
      <c r="AJ2" s="10" t="s">
        <v>115</v>
      </c>
      <c r="AK2" s="11">
        <f>COUNTA(AJ:AJ)-1</f>
        <v>3</v>
      </c>
      <c r="AL2" s="10" t="s">
        <v>116</v>
      </c>
      <c r="AM2" s="11">
        <f>COUNTA(AL:AL)-1</f>
        <v>1</v>
      </c>
      <c r="AN2" s="10" t="s">
        <v>117</v>
      </c>
      <c r="AO2" s="11">
        <f>COUNTA(AN:AN)-1</f>
        <v>4</v>
      </c>
      <c r="AQ2" s="520" t="s">
        <v>118</v>
      </c>
      <c r="AR2" s="84" t="s">
        <v>119</v>
      </c>
    </row>
    <row r="3" spans="2:44" ht="15.75" thickBot="1" x14ac:dyDescent="0.3">
      <c r="B3" s="665" t="s">
        <v>120</v>
      </c>
      <c r="C3" s="665"/>
      <c r="D3" s="568" t="str">
        <f ca="1">IF(COUNTIF(D4:D13,"◄")=0,"","Falta preencher a linha "&amp;MATCH("◄",D4:D13,0)+ROW(D3))</f>
        <v>Falta preencher a linha 4</v>
      </c>
      <c r="G3" s="12" t="s">
        <v>101</v>
      </c>
      <c r="H3" t="s">
        <v>121</v>
      </c>
      <c r="I3" s="7" t="s">
        <v>122</v>
      </c>
      <c r="J3" s="12" t="s">
        <v>123</v>
      </c>
      <c r="K3" s="7" t="s">
        <v>124</v>
      </c>
      <c r="L3" t="s">
        <v>125</v>
      </c>
      <c r="M3" s="7" t="s">
        <v>124</v>
      </c>
      <c r="N3" t="s">
        <v>126</v>
      </c>
      <c r="O3" s="7" t="s">
        <v>127</v>
      </c>
      <c r="P3" t="s">
        <v>128</v>
      </c>
      <c r="Q3" s="7" t="s">
        <v>129</v>
      </c>
      <c r="R3" t="s">
        <v>130</v>
      </c>
      <c r="S3" s="7" t="s">
        <v>122</v>
      </c>
      <c r="T3" t="s">
        <v>131</v>
      </c>
      <c r="U3" s="7" t="s">
        <v>122</v>
      </c>
      <c r="V3" t="s">
        <v>132</v>
      </c>
      <c r="W3" s="7" t="s">
        <v>122</v>
      </c>
      <c r="X3" t="s">
        <v>133</v>
      </c>
      <c r="Y3" s="7" t="s">
        <v>124</v>
      </c>
      <c r="Z3" t="s">
        <v>134</v>
      </c>
      <c r="AA3" s="7" t="s">
        <v>124</v>
      </c>
      <c r="AB3" t="s">
        <v>111</v>
      </c>
      <c r="AC3" s="7" t="s">
        <v>124</v>
      </c>
      <c r="AD3" t="s">
        <v>112</v>
      </c>
      <c r="AE3" s="7" t="s">
        <v>122</v>
      </c>
      <c r="AF3" t="s">
        <v>113</v>
      </c>
      <c r="AG3" s="7" t="s">
        <v>122</v>
      </c>
      <c r="AH3" t="s">
        <v>114</v>
      </c>
      <c r="AI3" s="7" t="s">
        <v>122</v>
      </c>
      <c r="AJ3" t="s">
        <v>135</v>
      </c>
      <c r="AK3" s="7" t="s">
        <v>122</v>
      </c>
      <c r="AL3" t="s">
        <v>116</v>
      </c>
      <c r="AM3" s="7" t="s">
        <v>136</v>
      </c>
      <c r="AN3" t="s">
        <v>137</v>
      </c>
      <c r="AO3" s="7" t="s">
        <v>138</v>
      </c>
      <c r="AQ3" t="s">
        <v>136</v>
      </c>
      <c r="AR3" t="s">
        <v>136</v>
      </c>
    </row>
    <row r="4" spans="2:44" x14ac:dyDescent="0.2">
      <c r="B4" s="13" t="s">
        <v>139</v>
      </c>
      <c r="C4" s="14" t="s">
        <v>140</v>
      </c>
      <c r="D4" s="569" t="str">
        <f ca="1">IF(OR(OFFSET(D4,0,-1)="",OFFSET(D4,0,-1)="(SELECIONAR)"),"◄","")</f>
        <v>◄</v>
      </c>
      <c r="G4" s="12" t="s">
        <v>102</v>
      </c>
      <c r="H4" t="s">
        <v>141</v>
      </c>
      <c r="I4" s="7" t="s">
        <v>122</v>
      </c>
      <c r="J4" t="s">
        <v>142</v>
      </c>
      <c r="K4" s="7" t="s">
        <v>124</v>
      </c>
      <c r="L4" t="s">
        <v>143</v>
      </c>
      <c r="M4" s="7" t="s">
        <v>124</v>
      </c>
      <c r="N4" t="s">
        <v>144</v>
      </c>
      <c r="O4" s="7" t="s">
        <v>127</v>
      </c>
      <c r="P4" t="s">
        <v>145</v>
      </c>
      <c r="Q4" s="7" t="s">
        <v>129</v>
      </c>
      <c r="R4" t="s">
        <v>146</v>
      </c>
      <c r="S4" s="7" t="s">
        <v>127</v>
      </c>
      <c r="T4" t="s">
        <v>147</v>
      </c>
      <c r="U4" s="7" t="s">
        <v>122</v>
      </c>
      <c r="V4" t="s">
        <v>148</v>
      </c>
      <c r="W4" s="7" t="s">
        <v>149</v>
      </c>
      <c r="X4" t="s">
        <v>150</v>
      </c>
      <c r="Y4" s="7" t="s">
        <v>124</v>
      </c>
      <c r="Z4" t="s">
        <v>151</v>
      </c>
      <c r="AA4" s="7" t="s">
        <v>124</v>
      </c>
      <c r="AB4" t="s">
        <v>152</v>
      </c>
      <c r="AC4" s="7" t="s">
        <v>124</v>
      </c>
      <c r="AE4" s="7"/>
      <c r="AG4" s="7"/>
      <c r="AI4" s="7"/>
      <c r="AJ4" t="s">
        <v>153</v>
      </c>
      <c r="AK4" s="7" t="s">
        <v>122</v>
      </c>
      <c r="AN4" t="s">
        <v>154</v>
      </c>
      <c r="AO4" s="7" t="s">
        <v>138</v>
      </c>
      <c r="AQ4" t="s">
        <v>155</v>
      </c>
      <c r="AR4" t="s">
        <v>156</v>
      </c>
    </row>
    <row r="5" spans="2:44" x14ac:dyDescent="0.2">
      <c r="B5" s="15" t="s">
        <v>157</v>
      </c>
      <c r="C5" s="16" t="s">
        <v>950</v>
      </c>
      <c r="D5" s="569" t="str">
        <f t="shared" ref="D5:D11" ca="1" si="0">IF(OFFSET(D5,0,-1)="","◄","")</f>
        <v/>
      </c>
      <c r="G5" s="12" t="s">
        <v>103</v>
      </c>
      <c r="H5" t="s">
        <v>158</v>
      </c>
      <c r="I5" s="7" t="s">
        <v>122</v>
      </c>
      <c r="J5" t="s">
        <v>159</v>
      </c>
      <c r="K5" s="7" t="s">
        <v>124</v>
      </c>
      <c r="L5" t="s">
        <v>160</v>
      </c>
      <c r="M5" s="7" t="s">
        <v>127</v>
      </c>
      <c r="N5" t="s">
        <v>161</v>
      </c>
      <c r="O5" s="7" t="s">
        <v>127</v>
      </c>
      <c r="P5" t="s">
        <v>162</v>
      </c>
      <c r="Q5" s="7" t="s">
        <v>129</v>
      </c>
      <c r="R5" t="s">
        <v>163</v>
      </c>
      <c r="S5" s="7" t="s">
        <v>127</v>
      </c>
      <c r="T5" t="s">
        <v>164</v>
      </c>
      <c r="U5" s="7" t="s">
        <v>127</v>
      </c>
      <c r="V5" t="s">
        <v>165</v>
      </c>
      <c r="W5" s="7" t="s">
        <v>149</v>
      </c>
      <c r="Y5" s="7"/>
      <c r="AA5" s="7"/>
      <c r="AC5" s="7"/>
      <c r="AE5" s="7"/>
      <c r="AG5" s="7"/>
      <c r="AI5" s="7"/>
      <c r="AJ5" t="s">
        <v>166</v>
      </c>
      <c r="AK5" s="7" t="s">
        <v>122</v>
      </c>
      <c r="AN5" t="s">
        <v>167</v>
      </c>
      <c r="AO5" s="7" t="s">
        <v>138</v>
      </c>
      <c r="AQ5" t="s">
        <v>168</v>
      </c>
      <c r="AR5" t="s">
        <v>169</v>
      </c>
    </row>
    <row r="6" spans="2:44" x14ac:dyDescent="0.2">
      <c r="B6" s="15" t="s">
        <v>170</v>
      </c>
      <c r="C6" s="16" t="s">
        <v>951</v>
      </c>
      <c r="D6" s="569" t="str">
        <f t="shared" ca="1" si="0"/>
        <v/>
      </c>
      <c r="G6" s="12" t="s">
        <v>104</v>
      </c>
      <c r="J6" t="s">
        <v>171</v>
      </c>
      <c r="K6" s="7" t="s">
        <v>124</v>
      </c>
      <c r="L6" t="s">
        <v>172</v>
      </c>
      <c r="M6" s="7" t="s">
        <v>124</v>
      </c>
      <c r="N6" t="s">
        <v>173</v>
      </c>
      <c r="O6" s="7" t="s">
        <v>124</v>
      </c>
      <c r="P6" t="s">
        <v>174</v>
      </c>
      <c r="Q6" s="7" t="s">
        <v>127</v>
      </c>
      <c r="R6" t="s">
        <v>175</v>
      </c>
      <c r="S6" s="7" t="s">
        <v>127</v>
      </c>
      <c r="T6" t="s">
        <v>176</v>
      </c>
      <c r="U6" s="7" t="s">
        <v>127</v>
      </c>
      <c r="V6" t="s">
        <v>177</v>
      </c>
      <c r="W6" s="7" t="s">
        <v>122</v>
      </c>
      <c r="AN6" t="s">
        <v>178</v>
      </c>
      <c r="AO6" s="7" t="s">
        <v>138</v>
      </c>
      <c r="AQ6" t="s">
        <v>179</v>
      </c>
      <c r="AR6" t="s">
        <v>180</v>
      </c>
    </row>
    <row r="7" spans="2:44" x14ac:dyDescent="0.2">
      <c r="B7" s="17" t="s">
        <v>181</v>
      </c>
      <c r="C7" s="18"/>
      <c r="D7" s="569" t="str">
        <f t="shared" ca="1" si="0"/>
        <v>◄</v>
      </c>
      <c r="G7" s="12" t="s">
        <v>105</v>
      </c>
      <c r="J7" t="s">
        <v>182</v>
      </c>
      <c r="K7" s="7" t="s">
        <v>124</v>
      </c>
      <c r="L7" t="s">
        <v>183</v>
      </c>
      <c r="M7" s="7" t="s">
        <v>124</v>
      </c>
      <c r="N7" t="s">
        <v>184</v>
      </c>
      <c r="O7" s="7" t="s">
        <v>149</v>
      </c>
      <c r="P7" t="s">
        <v>185</v>
      </c>
      <c r="Q7" s="7" t="s">
        <v>129</v>
      </c>
      <c r="R7" t="s">
        <v>186</v>
      </c>
      <c r="S7" s="7" t="s">
        <v>129</v>
      </c>
      <c r="V7" t="s">
        <v>187</v>
      </c>
      <c r="W7" s="7" t="s">
        <v>122</v>
      </c>
      <c r="AQ7" t="s">
        <v>188</v>
      </c>
      <c r="AR7" t="s">
        <v>189</v>
      </c>
    </row>
    <row r="8" spans="2:44" x14ac:dyDescent="0.2">
      <c r="B8" s="17" t="s">
        <v>190</v>
      </c>
      <c r="C8" s="18"/>
      <c r="D8" s="569" t="str">
        <f ca="1">IF(AND(Import.TipoArredondamento="TransfereGOV",OFFSET(D8,0,-1)=""),"◄","")</f>
        <v>◄</v>
      </c>
      <c r="G8" s="12" t="s">
        <v>106</v>
      </c>
      <c r="J8" t="s">
        <v>191</v>
      </c>
      <c r="K8" s="7" t="s">
        <v>124</v>
      </c>
      <c r="L8" t="s">
        <v>192</v>
      </c>
      <c r="M8" s="7" t="s">
        <v>124</v>
      </c>
      <c r="N8" t="s">
        <v>193</v>
      </c>
      <c r="O8" s="7" t="s">
        <v>129</v>
      </c>
      <c r="P8" t="s">
        <v>194</v>
      </c>
      <c r="Q8" s="7" t="s">
        <v>129</v>
      </c>
      <c r="R8" t="s">
        <v>195</v>
      </c>
      <c r="S8" s="7" t="s">
        <v>129</v>
      </c>
      <c r="V8" t="s">
        <v>196</v>
      </c>
      <c r="W8" s="7" t="s">
        <v>124</v>
      </c>
      <c r="AQ8" t="s">
        <v>197</v>
      </c>
      <c r="AR8" t="s">
        <v>198</v>
      </c>
    </row>
    <row r="9" spans="2:44" x14ac:dyDescent="0.2">
      <c r="B9" s="17" t="str">
        <f>IF(C4="FGTS","Valor de Financiamento Contratado (R$):","Valor do Repasse Contratado (R$):")</f>
        <v>Valor do Repasse Contratado (R$):</v>
      </c>
      <c r="C9" s="19"/>
      <c r="D9" s="569" t="str">
        <f t="shared" ca="1" si="0"/>
        <v>◄</v>
      </c>
      <c r="G9" s="12" t="s">
        <v>107</v>
      </c>
      <c r="P9" t="s">
        <v>199</v>
      </c>
      <c r="Q9" s="7" t="s">
        <v>127</v>
      </c>
      <c r="R9" t="s">
        <v>200</v>
      </c>
      <c r="S9" s="7" t="s">
        <v>129</v>
      </c>
      <c r="AQ9" t="s">
        <v>201</v>
      </c>
      <c r="AR9" t="s">
        <v>202</v>
      </c>
    </row>
    <row r="10" spans="2:44" x14ac:dyDescent="0.2">
      <c r="B10" s="17" t="s">
        <v>203</v>
      </c>
      <c r="C10" s="19"/>
      <c r="D10" s="569" t="str">
        <f t="shared" ca="1" si="0"/>
        <v>◄</v>
      </c>
      <c r="G10" s="12" t="s">
        <v>108</v>
      </c>
      <c r="P10" t="s">
        <v>204</v>
      </c>
      <c r="Q10" s="7" t="s">
        <v>149</v>
      </c>
      <c r="R10" t="s">
        <v>205</v>
      </c>
      <c r="S10" s="7" t="s">
        <v>122</v>
      </c>
      <c r="AQ10" t="s">
        <v>206</v>
      </c>
      <c r="AR10" t="s">
        <v>207</v>
      </c>
    </row>
    <row r="11" spans="2:44" x14ac:dyDescent="0.2">
      <c r="B11" s="17" t="s">
        <v>208</v>
      </c>
      <c r="C11" s="20"/>
      <c r="D11" s="569" t="str">
        <f t="shared" ca="1" si="0"/>
        <v>◄</v>
      </c>
      <c r="G11" s="12" t="s">
        <v>109</v>
      </c>
      <c r="P11" t="s">
        <v>209</v>
      </c>
      <c r="Q11" s="7" t="s">
        <v>127</v>
      </c>
      <c r="AQ11" t="s">
        <v>210</v>
      </c>
      <c r="AR11" t="s">
        <v>211</v>
      </c>
    </row>
    <row r="12" spans="2:44" x14ac:dyDescent="0.2">
      <c r="B12" s="17" t="s">
        <v>212</v>
      </c>
      <c r="C12" s="19"/>
      <c r="G12" s="12" t="s">
        <v>110</v>
      </c>
      <c r="P12" t="s">
        <v>130</v>
      </c>
      <c r="Q12" s="7" t="s">
        <v>122</v>
      </c>
      <c r="AQ12" t="s">
        <v>213</v>
      </c>
      <c r="AR12" t="s">
        <v>214</v>
      </c>
    </row>
    <row r="13" spans="2:44" ht="13.5" thickBot="1" x14ac:dyDescent="0.25">
      <c r="B13" s="21" t="s">
        <v>215</v>
      </c>
      <c r="C13" s="22"/>
      <c r="G13" s="12" t="s">
        <v>111</v>
      </c>
      <c r="P13" t="s">
        <v>216</v>
      </c>
      <c r="Q13" s="7" t="s">
        <v>127</v>
      </c>
      <c r="AQ13" t="s">
        <v>217</v>
      </c>
      <c r="AR13" t="s">
        <v>218</v>
      </c>
    </row>
    <row r="14" spans="2:44" ht="13.5" thickBot="1" x14ac:dyDescent="0.25">
      <c r="C14" s="23"/>
      <c r="G14" s="12" t="s">
        <v>112</v>
      </c>
      <c r="AQ14" t="s">
        <v>219</v>
      </c>
      <c r="AR14" t="s">
        <v>220</v>
      </c>
    </row>
    <row r="15" spans="2:44" ht="15.75" thickBot="1" x14ac:dyDescent="0.3">
      <c r="B15" s="665" t="s">
        <v>221</v>
      </c>
      <c r="C15" s="665"/>
      <c r="D15" s="568" t="str">
        <f ca="1">IF(COUNTIF(D16:D19,"◄")=0,"","Falta preencher a linha "&amp;MATCH("◄",D16:D19,0)+ROW(D15))</f>
        <v/>
      </c>
      <c r="G15" s="12" t="s">
        <v>113</v>
      </c>
      <c r="AQ15" t="s">
        <v>222</v>
      </c>
      <c r="AR15" t="s">
        <v>223</v>
      </c>
    </row>
    <row r="16" spans="2:44" x14ac:dyDescent="0.2">
      <c r="B16" s="24" t="s">
        <v>224</v>
      </c>
      <c r="C16" s="25" t="s">
        <v>953</v>
      </c>
      <c r="D16" s="569" t="str">
        <f t="shared" ref="D16:D19" ca="1" si="1">IF(OFFSET(D16,0,-1)="","◄","")</f>
        <v/>
      </c>
      <c r="G16" s="12" t="s">
        <v>114</v>
      </c>
      <c r="AQ16" t="s">
        <v>225</v>
      </c>
      <c r="AR16" t="s">
        <v>226</v>
      </c>
    </row>
    <row r="17" spans="2:44" x14ac:dyDescent="0.2">
      <c r="B17" s="17" t="s">
        <v>227</v>
      </c>
      <c r="C17" s="26" t="s">
        <v>953</v>
      </c>
      <c r="D17" s="569" t="str">
        <f t="shared" ca="1" si="1"/>
        <v/>
      </c>
      <c r="G17" s="12" t="s">
        <v>115</v>
      </c>
      <c r="AQ17" t="s">
        <v>228</v>
      </c>
      <c r="AR17" t="s">
        <v>229</v>
      </c>
    </row>
    <row r="18" spans="2:44" x14ac:dyDescent="0.2">
      <c r="B18" s="17" t="s">
        <v>230</v>
      </c>
      <c r="C18" s="27" t="s">
        <v>952</v>
      </c>
      <c r="D18" s="569" t="str">
        <f ca="1">IF(OR(OFFSET(D18,0,-1)="",OFFSET(D18,0,-1)="(SELECIONAR)"),"◄","")</f>
        <v/>
      </c>
      <c r="G18" s="12" t="s">
        <v>116</v>
      </c>
      <c r="AQ18" t="s">
        <v>231</v>
      </c>
      <c r="AR18" t="s">
        <v>232</v>
      </c>
    </row>
    <row r="19" spans="2:44" ht="13.5" thickBot="1" x14ac:dyDescent="0.25">
      <c r="B19" s="28" t="s">
        <v>233</v>
      </c>
      <c r="C19" s="29">
        <v>45717</v>
      </c>
      <c r="D19" s="569" t="str">
        <f t="shared" ca="1" si="1"/>
        <v/>
      </c>
      <c r="G19" s="12" t="s">
        <v>117</v>
      </c>
      <c r="AQ19" t="s">
        <v>234</v>
      </c>
      <c r="AR19" t="s">
        <v>235</v>
      </c>
    </row>
    <row r="20" spans="2:44" ht="13.5" thickBot="1" x14ac:dyDescent="0.25">
      <c r="C20" s="30"/>
      <c r="G20" s="12"/>
      <c r="AQ20" t="s">
        <v>236</v>
      </c>
      <c r="AR20" t="s">
        <v>237</v>
      </c>
    </row>
    <row r="21" spans="2:44" ht="15.75" thickBot="1" x14ac:dyDescent="0.3">
      <c r="B21" s="665" t="s">
        <v>238</v>
      </c>
      <c r="C21" s="665"/>
      <c r="D21" s="568" t="str">
        <f ca="1">IF(COUNTIF(D22:D25,"◄")=0,"","Falta preencher a linha "&amp;MATCH("◄",D22:D25,0)+ROW(D21))</f>
        <v/>
      </c>
      <c r="G21" s="12"/>
      <c r="AQ21" t="s">
        <v>239</v>
      </c>
      <c r="AR21" t="s">
        <v>240</v>
      </c>
    </row>
    <row r="22" spans="2:44" x14ac:dyDescent="0.2">
      <c r="B22" s="15" t="s">
        <v>241</v>
      </c>
      <c r="C22" s="31" t="s">
        <v>954</v>
      </c>
      <c r="D22" s="569" t="str">
        <f t="shared" ref="D22:D24" ca="1" si="2">IF(OFFSET(D22,0,-1)="","◄","")</f>
        <v/>
      </c>
      <c r="AQ22" t="s">
        <v>242</v>
      </c>
      <c r="AR22" t="s">
        <v>243</v>
      </c>
    </row>
    <row r="23" spans="2:44" x14ac:dyDescent="0.2">
      <c r="B23" s="17" t="s">
        <v>244</v>
      </c>
      <c r="C23" s="18" t="s">
        <v>955</v>
      </c>
      <c r="D23" s="569" t="str">
        <f t="shared" ca="1" si="2"/>
        <v/>
      </c>
      <c r="AQ23" t="s">
        <v>245</v>
      </c>
      <c r="AR23" t="s">
        <v>246</v>
      </c>
    </row>
    <row r="24" spans="2:44" x14ac:dyDescent="0.2">
      <c r="B24" s="17" t="s">
        <v>247</v>
      </c>
      <c r="C24" s="18" t="s">
        <v>956</v>
      </c>
      <c r="D24" s="569" t="str">
        <f t="shared" ca="1" si="2"/>
        <v/>
      </c>
      <c r="AQ24" t="s">
        <v>248</v>
      </c>
      <c r="AR24" t="s">
        <v>249</v>
      </c>
    </row>
    <row r="25" spans="2:44" ht="13.5" thickBot="1" x14ac:dyDescent="0.25">
      <c r="B25" s="21" t="s">
        <v>250</v>
      </c>
      <c r="C25" s="32">
        <v>45803</v>
      </c>
      <c r="D25" s="569" t="s">
        <v>251</v>
      </c>
      <c r="AQ25" t="s">
        <v>252</v>
      </c>
      <c r="AR25" t="s">
        <v>253</v>
      </c>
    </row>
    <row r="26" spans="2:44" ht="13.5" thickBot="1" x14ac:dyDescent="0.25">
      <c r="AQ26" t="s">
        <v>254</v>
      </c>
      <c r="AR26" t="s">
        <v>255</v>
      </c>
    </row>
    <row r="27" spans="2:44" ht="15.75" thickBot="1" x14ac:dyDescent="0.3">
      <c r="B27" s="665" t="s">
        <v>256</v>
      </c>
      <c r="C27" s="665"/>
      <c r="D27" s="568" t="str">
        <f ca="1">IF(COUNTIF(D28:D29,"◄")=0,"","Falta preencher a linha "&amp;MATCH("◄",D28:D29,0)+ROW(D27))</f>
        <v/>
      </c>
      <c r="AQ27" t="s">
        <v>257</v>
      </c>
      <c r="AR27" t="s">
        <v>258</v>
      </c>
    </row>
    <row r="28" spans="2:44" x14ac:dyDescent="0.2">
      <c r="B28" s="13" t="s">
        <v>241</v>
      </c>
      <c r="C28" s="33" t="s">
        <v>957</v>
      </c>
      <c r="D28" s="569" t="str">
        <f t="shared" ref="D28:D29" ca="1" si="3">IF(OFFSET(D28,0,-1)="","◄","")</f>
        <v/>
      </c>
      <c r="AQ28" t="s">
        <v>259</v>
      </c>
      <c r="AR28" t="s">
        <v>260</v>
      </c>
    </row>
    <row r="29" spans="2:44" ht="13.5" thickBot="1" x14ac:dyDescent="0.25">
      <c r="B29" s="21" t="s">
        <v>261</v>
      </c>
      <c r="C29" s="34" t="s">
        <v>958</v>
      </c>
      <c r="D29" s="569" t="str">
        <f t="shared" ca="1" si="3"/>
        <v/>
      </c>
      <c r="AQ29" t="s">
        <v>262</v>
      </c>
      <c r="AR29" t="s">
        <v>263</v>
      </c>
    </row>
    <row r="30" spans="2:44" ht="16.5" thickBot="1" x14ac:dyDescent="0.25">
      <c r="B30" s="8"/>
      <c r="AQ30" t="s">
        <v>264</v>
      </c>
      <c r="AR30" t="s">
        <v>263</v>
      </c>
    </row>
    <row r="31" spans="2:44" ht="13.5" thickBot="1" x14ac:dyDescent="0.25">
      <c r="B31" s="475" t="s">
        <v>265</v>
      </c>
      <c r="C31" s="476" t="s">
        <v>266</v>
      </c>
      <c r="D31" s="569" t="str">
        <f ca="1">IF(OFFSET(D31,0,-1)="","◄ Falta definir o método de arredondamento.","")</f>
        <v/>
      </c>
      <c r="AQ31" t="s">
        <v>267</v>
      </c>
      <c r="AR31" t="s">
        <v>268</v>
      </c>
    </row>
    <row r="32" spans="2:44" ht="12.75" customHeight="1" x14ac:dyDescent="0.2">
      <c r="B32" s="8"/>
      <c r="AQ32" t="s">
        <v>269</v>
      </c>
      <c r="AR32" t="s">
        <v>270</v>
      </c>
    </row>
    <row r="33" spans="2:44" ht="12.75" customHeight="1" x14ac:dyDescent="0.2">
      <c r="B33" s="8" t="s">
        <v>271</v>
      </c>
      <c r="AQ33" t="s">
        <v>272</v>
      </c>
      <c r="AR33" t="s">
        <v>273</v>
      </c>
    </row>
    <row r="34" spans="2:44" ht="16.5" thickBot="1" x14ac:dyDescent="0.25">
      <c r="B34" s="8"/>
      <c r="AQ34" t="s">
        <v>274</v>
      </c>
      <c r="AR34" t="s">
        <v>272</v>
      </c>
    </row>
    <row r="35" spans="2:44" ht="12.75" customHeight="1" thickBot="1" x14ac:dyDescent="0.3">
      <c r="B35" s="665" t="s">
        <v>275</v>
      </c>
      <c r="C35" s="665"/>
      <c r="D35" s="568" t="str">
        <f ca="1">IF(COUNTIF(D36:D39,"◄")=0,"","Falta preencher a linha "&amp;MATCH("◄",D36:D39,0)+ROW(D35))</f>
        <v/>
      </c>
      <c r="AQ35" t="s">
        <v>276</v>
      </c>
      <c r="AR35" t="s">
        <v>277</v>
      </c>
    </row>
    <row r="36" spans="2:44" x14ac:dyDescent="0.2">
      <c r="B36" s="13" t="s">
        <v>278</v>
      </c>
      <c r="C36" s="35"/>
      <c r="D36" s="569" t="str">
        <f ca="1">IF(AND(TIPOORCAMENTO="Licitado",OFFSET(D36,0,-1)=""),"◄","")</f>
        <v/>
      </c>
      <c r="AQ36" t="s">
        <v>279</v>
      </c>
      <c r="AR36" t="s">
        <v>280</v>
      </c>
    </row>
    <row r="37" spans="2:44" x14ac:dyDescent="0.2">
      <c r="B37" s="15" t="s">
        <v>281</v>
      </c>
      <c r="C37" s="16"/>
      <c r="D37" s="569" t="str">
        <f ca="1">IF(AND(TIPOORCAMENTO="Licitado",OFFSET(D37,0,-1)=""),"◄","")</f>
        <v/>
      </c>
      <c r="AQ37" t="s">
        <v>282</v>
      </c>
      <c r="AR37" t="s">
        <v>283</v>
      </c>
    </row>
    <row r="38" spans="2:44" x14ac:dyDescent="0.2">
      <c r="B38" s="17" t="s">
        <v>284</v>
      </c>
      <c r="C38" s="18"/>
      <c r="D38" s="569" t="str">
        <f ca="1">IF(AND(TIPOORCAMENTO="Licitado",OFFSET(D38,0,-1)=""),"◄","")</f>
        <v/>
      </c>
      <c r="AQ38" t="s">
        <v>285</v>
      </c>
      <c r="AR38" t="s">
        <v>286</v>
      </c>
    </row>
    <row r="39" spans="2:44" x14ac:dyDescent="0.2">
      <c r="B39" s="17" t="s">
        <v>287</v>
      </c>
      <c r="C39" s="18"/>
      <c r="D39" s="569" t="str">
        <f ca="1">IF(AND(TIPOORCAMENTO="Licitado",OFFSET(D39,0,-1)=""),"◄","")</f>
        <v/>
      </c>
      <c r="AQ39" t="s">
        <v>288</v>
      </c>
      <c r="AR39" t="s">
        <v>289</v>
      </c>
    </row>
    <row r="40" spans="2:44" x14ac:dyDescent="0.2">
      <c r="B40" s="17" t="s">
        <v>290</v>
      </c>
      <c r="C40" s="27" t="s">
        <v>140</v>
      </c>
      <c r="D40" s="569" t="str">
        <f ca="1">IF(AND(TIPOORCAMENTO="Licitado",OR(OFFSET(D40,0,-1)="",OFFSET(D40,0,-1)="(SELECIONAR)")),"◄","")</f>
        <v/>
      </c>
      <c r="AQ40" t="s">
        <v>291</v>
      </c>
      <c r="AR40" t="s">
        <v>292</v>
      </c>
    </row>
    <row r="41" spans="2:44" ht="13.5" thickBot="1" x14ac:dyDescent="0.25">
      <c r="B41" s="28" t="s">
        <v>293</v>
      </c>
      <c r="C41" s="36"/>
      <c r="D41" s="569" t="str">
        <f ca="1">IF(AND(TIPOORCAMENTO="Licitado",OFFSET(D41,0,-1)=""),"◄","")</f>
        <v/>
      </c>
      <c r="AQ41" t="s">
        <v>294</v>
      </c>
      <c r="AR41" t="s">
        <v>295</v>
      </c>
    </row>
    <row r="42" spans="2:44" ht="15.75" x14ac:dyDescent="0.2">
      <c r="B42" s="8"/>
      <c r="AQ42" t="s">
        <v>296</v>
      </c>
      <c r="AR42" t="s">
        <v>297</v>
      </c>
    </row>
    <row r="43" spans="2:44" ht="12.75" customHeight="1" x14ac:dyDescent="0.2">
      <c r="B43" s="8"/>
      <c r="AQ43" t="s">
        <v>298</v>
      </c>
      <c r="AR43" t="s">
        <v>299</v>
      </c>
    </row>
    <row r="44" spans="2:44" ht="12.75" customHeight="1" x14ac:dyDescent="0.2">
      <c r="B44" s="8" t="s">
        <v>300</v>
      </c>
      <c r="AQ44" t="s">
        <v>301</v>
      </c>
      <c r="AR44" t="s">
        <v>302</v>
      </c>
    </row>
    <row r="45" spans="2:44" ht="16.5" thickBot="1" x14ac:dyDescent="0.25">
      <c r="B45" s="8"/>
      <c r="AQ45" t="s">
        <v>303</v>
      </c>
      <c r="AR45" t="s">
        <v>304</v>
      </c>
    </row>
    <row r="46" spans="2:44" ht="12.75" customHeight="1" thickBot="1" x14ac:dyDescent="0.3">
      <c r="B46" s="665" t="s">
        <v>305</v>
      </c>
      <c r="C46" s="665"/>
      <c r="D46" s="568" t="str">
        <f ca="1">IF(COUNTIF(D47:D48,"◄")=0,"","Falta preencher a linha "&amp;MATCH("◄",D47:D48,0)+ROW(D46))</f>
        <v/>
      </c>
      <c r="AQ46" t="s">
        <v>306</v>
      </c>
      <c r="AR46" t="s">
        <v>307</v>
      </c>
    </row>
    <row r="47" spans="2:44" x14ac:dyDescent="0.2">
      <c r="B47" s="13" t="s">
        <v>308</v>
      </c>
      <c r="C47" s="35"/>
      <c r="D47" s="569" t="str">
        <f ca="1">IF(AND(TIPOORCAMENTO="Licitado",OFFSET(D47,0,-1)="",IFERROR(RRE!$O$28,0)&gt;0),"◄","")</f>
        <v/>
      </c>
      <c r="AQ47" t="s">
        <v>309</v>
      </c>
      <c r="AR47" t="s">
        <v>310</v>
      </c>
    </row>
    <row r="48" spans="2:44" ht="13.5" thickBot="1" x14ac:dyDescent="0.25">
      <c r="B48" s="28" t="s">
        <v>311</v>
      </c>
      <c r="C48" s="37"/>
      <c r="D48" s="569" t="str">
        <f ca="1">IF(AND(TIPOORCAMENTO="Licitado",OFFSET(D48,0,-1)="",IFERROR(RRE!$O$28,0)&gt;0),"◄","")</f>
        <v/>
      </c>
      <c r="AQ48" t="s">
        <v>312</v>
      </c>
      <c r="AR48" t="s">
        <v>313</v>
      </c>
    </row>
    <row r="49" spans="2:44" ht="16.5" thickBot="1" x14ac:dyDescent="0.25">
      <c r="B49" s="8"/>
      <c r="AQ49" t="s">
        <v>314</v>
      </c>
      <c r="AR49" t="s">
        <v>315</v>
      </c>
    </row>
    <row r="50" spans="2:44" ht="12.75" customHeight="1" thickBot="1" x14ac:dyDescent="0.3">
      <c r="B50" s="665" t="s">
        <v>316</v>
      </c>
      <c r="C50" s="665"/>
      <c r="D50" s="568" t="str">
        <f ca="1">IF(COUNTIF(D51:D54,"◄")=0,"","Falta preencher a linha "&amp;MATCH("◄",D51:D54,0)+ROW(D50))</f>
        <v/>
      </c>
      <c r="AQ50" t="s">
        <v>317</v>
      </c>
      <c r="AR50" t="s">
        <v>318</v>
      </c>
    </row>
    <row r="51" spans="2:44" x14ac:dyDescent="0.2">
      <c r="B51" s="13" t="s">
        <v>241</v>
      </c>
      <c r="C51" s="38"/>
      <c r="D51" s="569" t="str">
        <f ca="1">IF(AND(TIPOORCAMENTO="Licitado",OFFSET(D51,0,-1)="",IFERROR(RRE!$O$28,0)&gt;0),"◄","")</f>
        <v/>
      </c>
      <c r="AQ51" t="s">
        <v>319</v>
      </c>
      <c r="AR51" t="s">
        <v>320</v>
      </c>
    </row>
    <row r="52" spans="2:44" x14ac:dyDescent="0.2">
      <c r="B52" s="17" t="s">
        <v>321</v>
      </c>
      <c r="C52" s="18"/>
      <c r="D52" s="569" t="str">
        <f ca="1">IF(AND(TIPOORCAMENTO="Licitado",OFFSET(D52,0,-1)="",IFERROR(RRE!$O$28,0)&gt;0),"◄","")</f>
        <v/>
      </c>
      <c r="AQ52" t="s">
        <v>322</v>
      </c>
      <c r="AR52" t="s">
        <v>323</v>
      </c>
    </row>
    <row r="53" spans="2:44" x14ac:dyDescent="0.2">
      <c r="B53" s="17" t="s">
        <v>324</v>
      </c>
      <c r="C53" s="18"/>
      <c r="D53" s="569" t="str">
        <f ca="1">IF(AND(TIPOORCAMENTO="Licitado",OFFSET(D53,0,-1)="",IFERROR(RRE!$O$28,0)&gt;0),"◄","")</f>
        <v/>
      </c>
      <c r="AQ53" t="s">
        <v>325</v>
      </c>
      <c r="AR53" t="s">
        <v>326</v>
      </c>
    </row>
    <row r="54" spans="2:44" ht="13.5" thickBot="1" x14ac:dyDescent="0.25">
      <c r="B54" s="21" t="s">
        <v>327</v>
      </c>
      <c r="C54" s="39"/>
      <c r="D54" s="569" t="str">
        <f ca="1">IF(AND(TIPOORCAMENTO="Licitado",OFFSET(D54,0,-1)="",IFERROR(RRE!$O$28,0)&gt;0),"◄","")</f>
        <v/>
      </c>
      <c r="AQ54" t="s">
        <v>328</v>
      </c>
      <c r="AR54" t="s">
        <v>329</v>
      </c>
    </row>
    <row r="55" spans="2:44" x14ac:dyDescent="0.2">
      <c r="C55" s="30"/>
      <c r="AQ55" t="s">
        <v>330</v>
      </c>
      <c r="AR55" t="s">
        <v>331</v>
      </c>
    </row>
    <row r="56" spans="2:44" x14ac:dyDescent="0.2">
      <c r="AQ56" t="s">
        <v>332</v>
      </c>
      <c r="AR56" t="s">
        <v>333</v>
      </c>
    </row>
    <row r="57" spans="2:44" ht="15.75" x14ac:dyDescent="0.2">
      <c r="B57" s="8" t="s">
        <v>334</v>
      </c>
      <c r="AQ57" t="s">
        <v>335</v>
      </c>
      <c r="AR57" t="s">
        <v>336</v>
      </c>
    </row>
    <row r="58" spans="2:44" ht="16.5" thickBot="1" x14ac:dyDescent="0.25">
      <c r="B58" s="8"/>
      <c r="AQ58" t="s">
        <v>337</v>
      </c>
      <c r="AR58" t="s">
        <v>338</v>
      </c>
    </row>
    <row r="59" spans="2:44" ht="15.75" thickBot="1" x14ac:dyDescent="0.25">
      <c r="B59" s="665" t="s">
        <v>339</v>
      </c>
      <c r="C59" s="665"/>
      <c r="AQ59" t="s">
        <v>340</v>
      </c>
      <c r="AR59" t="s">
        <v>341</v>
      </c>
    </row>
    <row r="60" spans="2:44" x14ac:dyDescent="0.2">
      <c r="B60" s="13" t="s">
        <v>241</v>
      </c>
      <c r="C60" s="38"/>
      <c r="AQ60" t="s">
        <v>342</v>
      </c>
      <c r="AR60" t="s">
        <v>343</v>
      </c>
    </row>
    <row r="61" spans="2:44" ht="13.5" thickBot="1" x14ac:dyDescent="0.25">
      <c r="B61" s="28" t="s">
        <v>344</v>
      </c>
      <c r="C61" s="40"/>
      <c r="AQ61" t="s">
        <v>345</v>
      </c>
      <c r="AR61" t="s">
        <v>346</v>
      </c>
    </row>
    <row r="62" spans="2:44" x14ac:dyDescent="0.2">
      <c r="AQ62" t="s">
        <v>347</v>
      </c>
      <c r="AR62" t="s">
        <v>348</v>
      </c>
    </row>
    <row r="63" spans="2:44" x14ac:dyDescent="0.2">
      <c r="AQ63" t="s">
        <v>349</v>
      </c>
      <c r="AR63" t="s">
        <v>350</v>
      </c>
    </row>
    <row r="64" spans="2:44" x14ac:dyDescent="0.2">
      <c r="AQ64" t="s">
        <v>351</v>
      </c>
      <c r="AR64" t="s">
        <v>352</v>
      </c>
    </row>
    <row r="65" spans="43:44" x14ac:dyDescent="0.2">
      <c r="AQ65" t="s">
        <v>353</v>
      </c>
      <c r="AR65" t="s">
        <v>354</v>
      </c>
    </row>
    <row r="66" spans="43:44" x14ac:dyDescent="0.2">
      <c r="AQ66" t="s">
        <v>355</v>
      </c>
      <c r="AR66" t="s">
        <v>356</v>
      </c>
    </row>
    <row r="67" spans="43:44" x14ac:dyDescent="0.2">
      <c r="AQ67" t="s">
        <v>357</v>
      </c>
      <c r="AR67" t="s">
        <v>358</v>
      </c>
    </row>
    <row r="68" spans="43:44" x14ac:dyDescent="0.2">
      <c r="AQ68" t="s">
        <v>359</v>
      </c>
      <c r="AR68" t="s">
        <v>360</v>
      </c>
    </row>
    <row r="69" spans="43:44" x14ac:dyDescent="0.2">
      <c r="AQ69" t="s">
        <v>361</v>
      </c>
      <c r="AR69" t="s">
        <v>362</v>
      </c>
    </row>
    <row r="70" spans="43:44" x14ac:dyDescent="0.2">
      <c r="AQ70" t="s">
        <v>363</v>
      </c>
      <c r="AR70" t="s">
        <v>364</v>
      </c>
    </row>
    <row r="71" spans="43:44" x14ac:dyDescent="0.2">
      <c r="AQ71" t="s">
        <v>365</v>
      </c>
      <c r="AR71" t="s">
        <v>366</v>
      </c>
    </row>
    <row r="72" spans="43:44" x14ac:dyDescent="0.2">
      <c r="AQ72" t="s">
        <v>367</v>
      </c>
      <c r="AR72" t="s">
        <v>368</v>
      </c>
    </row>
    <row r="73" spans="43:44" x14ac:dyDescent="0.2">
      <c r="AQ73" t="s">
        <v>369</v>
      </c>
      <c r="AR73" t="s">
        <v>370</v>
      </c>
    </row>
    <row r="74" spans="43:44" x14ac:dyDescent="0.2">
      <c r="AQ74" t="s">
        <v>371</v>
      </c>
      <c r="AR74" t="s">
        <v>372</v>
      </c>
    </row>
    <row r="75" spans="43:44" x14ac:dyDescent="0.2">
      <c r="AQ75" t="s">
        <v>373</v>
      </c>
      <c r="AR75" t="s">
        <v>374</v>
      </c>
    </row>
    <row r="76" spans="43:44" x14ac:dyDescent="0.2">
      <c r="AQ76" t="s">
        <v>375</v>
      </c>
      <c r="AR76" t="s">
        <v>376</v>
      </c>
    </row>
    <row r="77" spans="43:44" x14ac:dyDescent="0.2">
      <c r="AQ77" t="s">
        <v>377</v>
      </c>
      <c r="AR77" t="s">
        <v>378</v>
      </c>
    </row>
    <row r="78" spans="43:44" x14ac:dyDescent="0.2">
      <c r="AQ78" t="s">
        <v>379</v>
      </c>
      <c r="AR78" t="s">
        <v>380</v>
      </c>
    </row>
    <row r="79" spans="43:44" x14ac:dyDescent="0.2">
      <c r="AQ79" t="s">
        <v>381</v>
      </c>
      <c r="AR79" t="s">
        <v>382</v>
      </c>
    </row>
    <row r="80" spans="43:44" x14ac:dyDescent="0.2">
      <c r="AQ80" t="s">
        <v>383</v>
      </c>
      <c r="AR80" t="s">
        <v>384</v>
      </c>
    </row>
    <row r="81" spans="43:44" x14ac:dyDescent="0.2">
      <c r="AQ81" t="s">
        <v>385</v>
      </c>
      <c r="AR81" t="s">
        <v>386</v>
      </c>
    </row>
    <row r="82" spans="43:44" x14ac:dyDescent="0.2">
      <c r="AQ82" t="s">
        <v>387</v>
      </c>
      <c r="AR82" t="s">
        <v>388</v>
      </c>
    </row>
    <row r="83" spans="43:44" x14ac:dyDescent="0.2">
      <c r="AQ83" t="s">
        <v>389</v>
      </c>
      <c r="AR83" t="s">
        <v>390</v>
      </c>
    </row>
    <row r="84" spans="43:44" x14ac:dyDescent="0.2">
      <c r="AQ84" t="s">
        <v>391</v>
      </c>
      <c r="AR84" t="s">
        <v>392</v>
      </c>
    </row>
    <row r="85" spans="43:44" x14ac:dyDescent="0.2">
      <c r="AQ85" t="s">
        <v>393</v>
      </c>
      <c r="AR85" t="s">
        <v>394</v>
      </c>
    </row>
    <row r="86" spans="43:44" x14ac:dyDescent="0.2">
      <c r="AQ86" t="s">
        <v>395</v>
      </c>
      <c r="AR86" t="s">
        <v>396</v>
      </c>
    </row>
    <row r="87" spans="43:44" x14ac:dyDescent="0.2">
      <c r="AQ87" t="s">
        <v>397</v>
      </c>
      <c r="AR87" t="s">
        <v>398</v>
      </c>
    </row>
    <row r="88" spans="43:44" x14ac:dyDescent="0.2">
      <c r="AQ88" t="s">
        <v>399</v>
      </c>
      <c r="AR88" t="s">
        <v>400</v>
      </c>
    </row>
    <row r="89" spans="43:44" x14ac:dyDescent="0.2">
      <c r="AQ89" t="s">
        <v>401</v>
      </c>
      <c r="AR89" t="s">
        <v>402</v>
      </c>
    </row>
    <row r="90" spans="43:44" x14ac:dyDescent="0.2">
      <c r="AQ90" t="s">
        <v>403</v>
      </c>
      <c r="AR90" t="s">
        <v>404</v>
      </c>
    </row>
    <row r="91" spans="43:44" x14ac:dyDescent="0.2">
      <c r="AQ91" t="s">
        <v>405</v>
      </c>
      <c r="AR91" t="s">
        <v>406</v>
      </c>
    </row>
    <row r="92" spans="43:44" x14ac:dyDescent="0.2">
      <c r="AQ92" t="s">
        <v>407</v>
      </c>
      <c r="AR92" t="s">
        <v>408</v>
      </c>
    </row>
    <row r="93" spans="43:44" x14ac:dyDescent="0.2">
      <c r="AQ93" t="s">
        <v>409</v>
      </c>
      <c r="AR93" t="s">
        <v>410</v>
      </c>
    </row>
    <row r="94" spans="43:44" x14ac:dyDescent="0.2">
      <c r="AQ94" t="s">
        <v>411</v>
      </c>
      <c r="AR94" t="s">
        <v>412</v>
      </c>
    </row>
    <row r="95" spans="43:44" x14ac:dyDescent="0.2">
      <c r="AQ95" t="s">
        <v>413</v>
      </c>
      <c r="AR95" t="s">
        <v>413</v>
      </c>
    </row>
    <row r="96" spans="43:44" x14ac:dyDescent="0.2">
      <c r="AQ96" t="s">
        <v>414</v>
      </c>
      <c r="AR96" t="s">
        <v>415</v>
      </c>
    </row>
    <row r="97" spans="43:44" x14ac:dyDescent="0.2">
      <c r="AQ97" t="s">
        <v>416</v>
      </c>
      <c r="AR97" t="s">
        <v>417</v>
      </c>
    </row>
    <row r="98" spans="43:44" x14ac:dyDescent="0.2">
      <c r="AQ98" t="s">
        <v>418</v>
      </c>
      <c r="AR98" t="s">
        <v>418</v>
      </c>
    </row>
    <row r="99" spans="43:44" x14ac:dyDescent="0.2">
      <c r="AQ99" t="s">
        <v>419</v>
      </c>
      <c r="AR99" t="s">
        <v>419</v>
      </c>
    </row>
    <row r="100" spans="43:44" x14ac:dyDescent="0.2">
      <c r="AQ100" t="s">
        <v>419</v>
      </c>
      <c r="AR100" t="s">
        <v>419</v>
      </c>
    </row>
    <row r="101" spans="43:44" x14ac:dyDescent="0.2">
      <c r="AQ101" t="s">
        <v>420</v>
      </c>
      <c r="AR101" t="s">
        <v>421</v>
      </c>
    </row>
    <row r="102" spans="43:44" x14ac:dyDescent="0.2">
      <c r="AQ102" t="s">
        <v>422</v>
      </c>
      <c r="AR102" t="s">
        <v>423</v>
      </c>
    </row>
    <row r="103" spans="43:44" x14ac:dyDescent="0.2">
      <c r="AQ103" t="s">
        <v>424</v>
      </c>
      <c r="AR103" t="s">
        <v>425</v>
      </c>
    </row>
    <row r="104" spans="43:44" x14ac:dyDescent="0.2">
      <c r="AQ104" t="s">
        <v>426</v>
      </c>
      <c r="AR104" t="s">
        <v>427</v>
      </c>
    </row>
    <row r="105" spans="43:44" x14ac:dyDescent="0.2">
      <c r="AQ105" t="s">
        <v>428</v>
      </c>
      <c r="AR105" t="s">
        <v>429</v>
      </c>
    </row>
    <row r="106" spans="43:44" x14ac:dyDescent="0.2">
      <c r="AQ106" t="s">
        <v>430</v>
      </c>
      <c r="AR106" t="s">
        <v>431</v>
      </c>
    </row>
    <row r="107" spans="43:44" x14ac:dyDescent="0.2">
      <c r="AQ107" t="s">
        <v>432</v>
      </c>
      <c r="AR107" t="s">
        <v>433</v>
      </c>
    </row>
    <row r="108" spans="43:44" x14ac:dyDescent="0.2">
      <c r="AQ108" t="s">
        <v>434</v>
      </c>
      <c r="AR108" t="s">
        <v>435</v>
      </c>
    </row>
    <row r="109" spans="43:44" x14ac:dyDescent="0.2">
      <c r="AQ109" t="s">
        <v>436</v>
      </c>
      <c r="AR109" t="s">
        <v>437</v>
      </c>
    </row>
    <row r="110" spans="43:44" x14ac:dyDescent="0.2">
      <c r="AQ110" t="s">
        <v>438</v>
      </c>
      <c r="AR110" t="s">
        <v>439</v>
      </c>
    </row>
    <row r="111" spans="43:44" x14ac:dyDescent="0.2">
      <c r="AQ111" t="s">
        <v>440</v>
      </c>
      <c r="AR111" t="s">
        <v>441</v>
      </c>
    </row>
    <row r="112" spans="43:44" x14ac:dyDescent="0.2">
      <c r="AQ112" t="s">
        <v>442</v>
      </c>
      <c r="AR112" t="s">
        <v>443</v>
      </c>
    </row>
    <row r="113" spans="43:44" x14ac:dyDescent="0.2">
      <c r="AQ113" t="s">
        <v>444</v>
      </c>
      <c r="AR113" t="s">
        <v>445</v>
      </c>
    </row>
    <row r="114" spans="43:44" x14ac:dyDescent="0.2">
      <c r="AQ114" t="s">
        <v>446</v>
      </c>
      <c r="AR114" t="s">
        <v>447</v>
      </c>
    </row>
    <row r="115" spans="43:44" x14ac:dyDescent="0.2">
      <c r="AQ115" t="s">
        <v>448</v>
      </c>
      <c r="AR115" t="s">
        <v>449</v>
      </c>
    </row>
    <row r="116" spans="43:44" x14ac:dyDescent="0.2">
      <c r="AQ116" t="s">
        <v>450</v>
      </c>
      <c r="AR116" t="s">
        <v>451</v>
      </c>
    </row>
    <row r="117" spans="43:44" x14ac:dyDescent="0.2">
      <c r="AQ117" t="s">
        <v>452</v>
      </c>
      <c r="AR117" t="s">
        <v>453</v>
      </c>
    </row>
    <row r="118" spans="43:44" x14ac:dyDescent="0.2">
      <c r="AQ118" t="s">
        <v>454</v>
      </c>
      <c r="AR118" t="s">
        <v>455</v>
      </c>
    </row>
    <row r="119" spans="43:44" x14ac:dyDescent="0.2">
      <c r="AQ119" t="s">
        <v>456</v>
      </c>
      <c r="AR119" t="s">
        <v>456</v>
      </c>
    </row>
    <row r="120" spans="43:44" x14ac:dyDescent="0.2">
      <c r="AQ120" t="s">
        <v>457</v>
      </c>
      <c r="AR120" t="s">
        <v>457</v>
      </c>
    </row>
    <row r="121" spans="43:44" x14ac:dyDescent="0.2">
      <c r="AQ121" t="s">
        <v>458</v>
      </c>
      <c r="AR121" t="s">
        <v>459</v>
      </c>
    </row>
    <row r="122" spans="43:44" x14ac:dyDescent="0.2">
      <c r="AQ122" t="s">
        <v>460</v>
      </c>
      <c r="AR122" t="s">
        <v>461</v>
      </c>
    </row>
    <row r="123" spans="43:44" x14ac:dyDescent="0.2">
      <c r="AQ123" t="s">
        <v>462</v>
      </c>
      <c r="AR123" t="s">
        <v>463</v>
      </c>
    </row>
    <row r="124" spans="43:44" x14ac:dyDescent="0.2">
      <c r="AQ124" t="s">
        <v>464</v>
      </c>
      <c r="AR124" t="s">
        <v>465</v>
      </c>
    </row>
    <row r="125" spans="43:44" x14ac:dyDescent="0.2">
      <c r="AQ125" t="s">
        <v>466</v>
      </c>
      <c r="AR125" t="s">
        <v>467</v>
      </c>
    </row>
    <row r="126" spans="43:44" x14ac:dyDescent="0.2">
      <c r="AQ126" t="s">
        <v>468</v>
      </c>
      <c r="AR126" t="s">
        <v>469</v>
      </c>
    </row>
    <row r="127" spans="43:44" x14ac:dyDescent="0.2">
      <c r="AQ127" t="s">
        <v>470</v>
      </c>
      <c r="AR127" t="s">
        <v>471</v>
      </c>
    </row>
    <row r="128" spans="43:44" x14ac:dyDescent="0.2">
      <c r="AQ128" t="s">
        <v>472</v>
      </c>
      <c r="AR128" t="s">
        <v>473</v>
      </c>
    </row>
    <row r="129" spans="43:44" x14ac:dyDescent="0.2">
      <c r="AQ129" t="s">
        <v>474</v>
      </c>
      <c r="AR129" t="s">
        <v>475</v>
      </c>
    </row>
    <row r="130" spans="43:44" x14ac:dyDescent="0.2">
      <c r="AQ130" t="s">
        <v>476</v>
      </c>
      <c r="AR130" t="s">
        <v>477</v>
      </c>
    </row>
    <row r="131" spans="43:44" x14ac:dyDescent="0.2">
      <c r="AQ131" t="s">
        <v>478</v>
      </c>
      <c r="AR131" t="s">
        <v>479</v>
      </c>
    </row>
    <row r="132" spans="43:44" x14ac:dyDescent="0.2">
      <c r="AQ132" t="s">
        <v>480</v>
      </c>
      <c r="AR132" t="s">
        <v>481</v>
      </c>
    </row>
    <row r="133" spans="43:44" x14ac:dyDescent="0.2">
      <c r="AQ133" t="s">
        <v>482</v>
      </c>
      <c r="AR133" t="s">
        <v>483</v>
      </c>
    </row>
    <row r="134" spans="43:44" x14ac:dyDescent="0.2">
      <c r="AQ134" t="s">
        <v>484</v>
      </c>
      <c r="AR134" t="s">
        <v>485</v>
      </c>
    </row>
    <row r="135" spans="43:44" x14ac:dyDescent="0.2">
      <c r="AQ135" t="s">
        <v>486</v>
      </c>
      <c r="AR135" t="s">
        <v>487</v>
      </c>
    </row>
    <row r="136" spans="43:44" x14ac:dyDescent="0.2">
      <c r="AQ136" t="s">
        <v>488</v>
      </c>
      <c r="AR136" t="s">
        <v>489</v>
      </c>
    </row>
    <row r="137" spans="43:44" x14ac:dyDescent="0.2">
      <c r="AQ137" t="s">
        <v>490</v>
      </c>
      <c r="AR137" t="s">
        <v>491</v>
      </c>
    </row>
    <row r="138" spans="43:44" x14ac:dyDescent="0.2">
      <c r="AQ138" t="s">
        <v>492</v>
      </c>
      <c r="AR138" t="s">
        <v>493</v>
      </c>
    </row>
    <row r="139" spans="43:44" x14ac:dyDescent="0.2">
      <c r="AQ139" t="s">
        <v>494</v>
      </c>
      <c r="AR139" t="s">
        <v>495</v>
      </c>
    </row>
    <row r="140" spans="43:44" x14ac:dyDescent="0.2">
      <c r="AQ140" t="s">
        <v>496</v>
      </c>
      <c r="AR140" t="s">
        <v>497</v>
      </c>
    </row>
    <row r="141" spans="43:44" x14ac:dyDescent="0.2">
      <c r="AQ141" t="s">
        <v>498</v>
      </c>
      <c r="AR141" t="s">
        <v>499</v>
      </c>
    </row>
    <row r="142" spans="43:44" x14ac:dyDescent="0.2">
      <c r="AQ142" t="s">
        <v>500</v>
      </c>
      <c r="AR142" t="s">
        <v>501</v>
      </c>
    </row>
    <row r="143" spans="43:44" x14ac:dyDescent="0.2">
      <c r="AQ143" t="s">
        <v>485</v>
      </c>
      <c r="AR143" t="s">
        <v>485</v>
      </c>
    </row>
    <row r="144" spans="43:44" x14ac:dyDescent="0.2">
      <c r="AQ144" t="s">
        <v>502</v>
      </c>
      <c r="AR144" t="s">
        <v>502</v>
      </c>
    </row>
    <row r="145" spans="43:44" x14ac:dyDescent="0.2">
      <c r="AQ145" t="s">
        <v>503</v>
      </c>
      <c r="AR145" t="s">
        <v>503</v>
      </c>
    </row>
    <row r="146" spans="43:44" x14ac:dyDescent="0.2">
      <c r="AQ146" t="s">
        <v>504</v>
      </c>
      <c r="AR146" t="s">
        <v>489</v>
      </c>
    </row>
    <row r="147" spans="43:44" x14ac:dyDescent="0.2">
      <c r="AQ147" t="s">
        <v>505</v>
      </c>
      <c r="AR147" t="s">
        <v>506</v>
      </c>
    </row>
    <row r="148" spans="43:44" x14ac:dyDescent="0.2">
      <c r="AQ148" t="s">
        <v>507</v>
      </c>
      <c r="AR148" t="s">
        <v>508</v>
      </c>
    </row>
    <row r="149" spans="43:44" x14ac:dyDescent="0.2">
      <c r="AQ149" t="s">
        <v>509</v>
      </c>
      <c r="AR149" t="s">
        <v>510</v>
      </c>
    </row>
    <row r="150" spans="43:44" x14ac:dyDescent="0.2">
      <c r="AQ150" t="s">
        <v>509</v>
      </c>
      <c r="AR150" t="s">
        <v>510</v>
      </c>
    </row>
    <row r="151" spans="43:44" x14ac:dyDescent="0.2">
      <c r="AQ151" t="s">
        <v>511</v>
      </c>
      <c r="AR151" t="s">
        <v>511</v>
      </c>
    </row>
    <row r="152" spans="43:44" x14ac:dyDescent="0.2">
      <c r="AQ152" t="s">
        <v>512</v>
      </c>
      <c r="AR152" t="s">
        <v>513</v>
      </c>
    </row>
    <row r="153" spans="43:44" x14ac:dyDescent="0.2">
      <c r="AQ153" t="s">
        <v>514</v>
      </c>
      <c r="AR153" t="s">
        <v>515</v>
      </c>
    </row>
    <row r="154" spans="43:44" x14ac:dyDescent="0.2">
      <c r="AQ154" t="s">
        <v>516</v>
      </c>
      <c r="AR154" t="s">
        <v>517</v>
      </c>
    </row>
    <row r="155" spans="43:44" x14ac:dyDescent="0.2">
      <c r="AQ155" t="s">
        <v>518</v>
      </c>
      <c r="AR155" t="s">
        <v>519</v>
      </c>
    </row>
    <row r="156" spans="43:44" x14ac:dyDescent="0.2">
      <c r="AQ156" t="s">
        <v>520</v>
      </c>
      <c r="AR156" t="s">
        <v>521</v>
      </c>
    </row>
    <row r="157" spans="43:44" x14ac:dyDescent="0.2">
      <c r="AQ157" t="s">
        <v>522</v>
      </c>
      <c r="AR157" t="s">
        <v>523</v>
      </c>
    </row>
    <row r="158" spans="43:44" x14ac:dyDescent="0.2">
      <c r="AQ158" t="s">
        <v>524</v>
      </c>
      <c r="AR158" t="s">
        <v>525</v>
      </c>
    </row>
    <row r="159" spans="43:44" x14ac:dyDescent="0.2">
      <c r="AQ159" t="s">
        <v>526</v>
      </c>
      <c r="AR159" t="s">
        <v>527</v>
      </c>
    </row>
    <row r="160" spans="43:44" x14ac:dyDescent="0.2">
      <c r="AQ160" t="s">
        <v>528</v>
      </c>
      <c r="AR160" t="s">
        <v>529</v>
      </c>
    </row>
    <row r="161" spans="43:44" x14ac:dyDescent="0.2">
      <c r="AQ161" t="s">
        <v>530</v>
      </c>
      <c r="AR161" t="s">
        <v>531</v>
      </c>
    </row>
    <row r="162" spans="43:44" x14ac:dyDescent="0.2">
      <c r="AQ162" t="s">
        <v>532</v>
      </c>
      <c r="AR162" t="s">
        <v>533</v>
      </c>
    </row>
    <row r="163" spans="43:44" x14ac:dyDescent="0.2">
      <c r="AQ163" t="s">
        <v>534</v>
      </c>
      <c r="AR163" t="s">
        <v>535</v>
      </c>
    </row>
    <row r="164" spans="43:44" x14ac:dyDescent="0.2">
      <c r="AQ164" t="s">
        <v>536</v>
      </c>
      <c r="AR164" t="s">
        <v>537</v>
      </c>
    </row>
    <row r="165" spans="43:44" x14ac:dyDescent="0.2">
      <c r="AQ165" t="s">
        <v>538</v>
      </c>
      <c r="AR165" t="s">
        <v>539</v>
      </c>
    </row>
    <row r="166" spans="43:44" x14ac:dyDescent="0.2">
      <c r="AQ166" t="s">
        <v>540</v>
      </c>
      <c r="AR166" t="s">
        <v>540</v>
      </c>
    </row>
    <row r="167" spans="43:44" x14ac:dyDescent="0.2">
      <c r="AQ167" t="s">
        <v>541</v>
      </c>
      <c r="AR167" t="s">
        <v>542</v>
      </c>
    </row>
    <row r="168" spans="43:44" x14ac:dyDescent="0.2">
      <c r="AQ168" t="s">
        <v>543</v>
      </c>
      <c r="AR168" t="s">
        <v>544</v>
      </c>
    </row>
    <row r="169" spans="43:44" x14ac:dyDescent="0.2">
      <c r="AQ169" t="s">
        <v>545</v>
      </c>
      <c r="AR169" t="s">
        <v>546</v>
      </c>
    </row>
    <row r="170" spans="43:44" x14ac:dyDescent="0.2">
      <c r="AQ170" t="s">
        <v>547</v>
      </c>
      <c r="AR170" t="s">
        <v>548</v>
      </c>
    </row>
    <row r="171" spans="43:44" x14ac:dyDescent="0.2">
      <c r="AQ171" t="s">
        <v>549</v>
      </c>
      <c r="AR171" t="s">
        <v>550</v>
      </c>
    </row>
    <row r="172" spans="43:44" x14ac:dyDescent="0.2">
      <c r="AQ172" t="s">
        <v>551</v>
      </c>
      <c r="AR172" t="s">
        <v>552</v>
      </c>
    </row>
    <row r="173" spans="43:44" x14ac:dyDescent="0.2">
      <c r="AQ173" t="s">
        <v>553</v>
      </c>
      <c r="AR173" t="s">
        <v>554</v>
      </c>
    </row>
    <row r="174" spans="43:44" x14ac:dyDescent="0.2">
      <c r="AQ174" t="s">
        <v>555</v>
      </c>
      <c r="AR174" t="s">
        <v>556</v>
      </c>
    </row>
    <row r="175" spans="43:44" x14ac:dyDescent="0.2">
      <c r="AQ175" t="s">
        <v>557</v>
      </c>
      <c r="AR175" t="s">
        <v>558</v>
      </c>
    </row>
    <row r="176" spans="43:44" x14ac:dyDescent="0.2">
      <c r="AQ176" t="s">
        <v>559</v>
      </c>
      <c r="AR176" t="s">
        <v>560</v>
      </c>
    </row>
    <row r="177" spans="43:44" x14ac:dyDescent="0.2">
      <c r="AQ177" t="s">
        <v>561</v>
      </c>
      <c r="AR177" t="s">
        <v>562</v>
      </c>
    </row>
    <row r="178" spans="43:44" x14ac:dyDescent="0.2">
      <c r="AQ178" t="s">
        <v>563</v>
      </c>
      <c r="AR178" t="s">
        <v>564</v>
      </c>
    </row>
    <row r="179" spans="43:44" x14ac:dyDescent="0.2">
      <c r="AQ179" t="s">
        <v>565</v>
      </c>
      <c r="AR179" t="s">
        <v>566</v>
      </c>
    </row>
    <row r="180" spans="43:44" x14ac:dyDescent="0.2">
      <c r="AQ180" t="s">
        <v>567</v>
      </c>
      <c r="AR180" t="s">
        <v>568</v>
      </c>
    </row>
    <row r="181" spans="43:44" x14ac:dyDescent="0.2">
      <c r="AQ181" t="s">
        <v>569</v>
      </c>
      <c r="AR181" t="s">
        <v>570</v>
      </c>
    </row>
    <row r="182" spans="43:44" x14ac:dyDescent="0.2">
      <c r="AQ182" t="s">
        <v>571</v>
      </c>
      <c r="AR182" t="s">
        <v>572</v>
      </c>
    </row>
    <row r="183" spans="43:44" x14ac:dyDescent="0.2">
      <c r="AQ183" t="s">
        <v>573</v>
      </c>
      <c r="AR183" t="s">
        <v>574</v>
      </c>
    </row>
    <row r="184" spans="43:44" x14ac:dyDescent="0.2">
      <c r="AQ184" t="s">
        <v>575</v>
      </c>
      <c r="AR184" t="s">
        <v>576</v>
      </c>
    </row>
    <row r="185" spans="43:44" x14ac:dyDescent="0.2">
      <c r="AQ185" t="s">
        <v>577</v>
      </c>
      <c r="AR185" t="s">
        <v>578</v>
      </c>
    </row>
    <row r="186" spans="43:44" x14ac:dyDescent="0.2">
      <c r="AQ186" t="s">
        <v>579</v>
      </c>
      <c r="AR186" t="s">
        <v>580</v>
      </c>
    </row>
    <row r="187" spans="43:44" x14ac:dyDescent="0.2">
      <c r="AQ187" t="s">
        <v>581</v>
      </c>
      <c r="AR187" t="s">
        <v>582</v>
      </c>
    </row>
    <row r="188" spans="43:44" x14ac:dyDescent="0.2">
      <c r="AQ188" t="s">
        <v>583</v>
      </c>
      <c r="AR188" t="s">
        <v>584</v>
      </c>
    </row>
    <row r="189" spans="43:44" x14ac:dyDescent="0.2">
      <c r="AQ189" t="s">
        <v>585</v>
      </c>
      <c r="AR189" t="s">
        <v>586</v>
      </c>
    </row>
    <row r="190" spans="43:44" x14ac:dyDescent="0.2">
      <c r="AQ190" t="s">
        <v>587</v>
      </c>
      <c r="AR190" t="s">
        <v>588</v>
      </c>
    </row>
    <row r="191" spans="43:44" x14ac:dyDescent="0.2">
      <c r="AQ191" t="s">
        <v>589</v>
      </c>
      <c r="AR191" t="s">
        <v>590</v>
      </c>
    </row>
    <row r="192" spans="43:44" x14ac:dyDescent="0.2">
      <c r="AQ192" t="s">
        <v>591</v>
      </c>
      <c r="AR192" t="s">
        <v>592</v>
      </c>
    </row>
    <row r="193" spans="43:44" x14ac:dyDescent="0.2">
      <c r="AQ193" t="s">
        <v>593</v>
      </c>
      <c r="AR193" t="s">
        <v>594</v>
      </c>
    </row>
    <row r="194" spans="43:44" x14ac:dyDescent="0.2">
      <c r="AQ194" t="s">
        <v>595</v>
      </c>
      <c r="AR194" t="s">
        <v>596</v>
      </c>
    </row>
    <row r="195" spans="43:44" x14ac:dyDescent="0.2">
      <c r="AQ195" t="s">
        <v>597</v>
      </c>
      <c r="AR195" t="s">
        <v>598</v>
      </c>
    </row>
    <row r="196" spans="43:44" x14ac:dyDescent="0.2">
      <c r="AQ196" t="s">
        <v>599</v>
      </c>
      <c r="AR196" t="s">
        <v>600</v>
      </c>
    </row>
    <row r="197" spans="43:44" x14ac:dyDescent="0.2">
      <c r="AQ197" t="s">
        <v>601</v>
      </c>
      <c r="AR197" t="s">
        <v>602</v>
      </c>
    </row>
    <row r="198" spans="43:44" x14ac:dyDescent="0.2">
      <c r="AQ198" t="s">
        <v>603</v>
      </c>
      <c r="AR198" t="s">
        <v>604</v>
      </c>
    </row>
    <row r="199" spans="43:44" x14ac:dyDescent="0.2">
      <c r="AQ199" t="s">
        <v>605</v>
      </c>
      <c r="AR199" t="s">
        <v>606</v>
      </c>
    </row>
    <row r="200" spans="43:44" x14ac:dyDescent="0.2">
      <c r="AQ200" t="s">
        <v>607</v>
      </c>
      <c r="AR200" t="s">
        <v>608</v>
      </c>
    </row>
    <row r="201" spans="43:44" x14ac:dyDescent="0.2">
      <c r="AQ201" t="s">
        <v>609</v>
      </c>
      <c r="AR201" t="s">
        <v>610</v>
      </c>
    </row>
    <row r="202" spans="43:44" x14ac:dyDescent="0.2">
      <c r="AQ202" t="s">
        <v>611</v>
      </c>
      <c r="AR202" t="s">
        <v>612</v>
      </c>
    </row>
    <row r="203" spans="43:44" x14ac:dyDescent="0.2">
      <c r="AQ203" t="s">
        <v>613</v>
      </c>
      <c r="AR203" t="s">
        <v>614</v>
      </c>
    </row>
    <row r="204" spans="43:44" x14ac:dyDescent="0.2">
      <c r="AQ204" t="s">
        <v>615</v>
      </c>
      <c r="AR204" t="s">
        <v>616</v>
      </c>
    </row>
    <row r="205" spans="43:44" x14ac:dyDescent="0.2">
      <c r="AQ205" t="s">
        <v>617</v>
      </c>
      <c r="AR205" t="s">
        <v>618</v>
      </c>
    </row>
    <row r="206" spans="43:44" x14ac:dyDescent="0.2">
      <c r="AQ206" t="s">
        <v>619</v>
      </c>
      <c r="AR206" t="s">
        <v>620</v>
      </c>
    </row>
    <row r="207" spans="43:44" x14ac:dyDescent="0.2">
      <c r="AQ207" t="s">
        <v>621</v>
      </c>
      <c r="AR207" t="s">
        <v>622</v>
      </c>
    </row>
    <row r="208" spans="43:44" x14ac:dyDescent="0.2">
      <c r="AQ208" t="s">
        <v>623</v>
      </c>
      <c r="AR208" t="s">
        <v>624</v>
      </c>
    </row>
    <row r="209" spans="43:44" x14ac:dyDescent="0.2">
      <c r="AQ209" t="s">
        <v>625</v>
      </c>
      <c r="AR209" t="s">
        <v>626</v>
      </c>
    </row>
    <row r="210" spans="43:44" x14ac:dyDescent="0.2">
      <c r="AQ210" t="s">
        <v>627</v>
      </c>
      <c r="AR210" t="s">
        <v>628</v>
      </c>
    </row>
    <row r="211" spans="43:44" x14ac:dyDescent="0.2">
      <c r="AQ211" t="s">
        <v>629</v>
      </c>
      <c r="AR211" t="s">
        <v>629</v>
      </c>
    </row>
    <row r="212" spans="43:44" x14ac:dyDescent="0.2">
      <c r="AQ212" t="s">
        <v>630</v>
      </c>
      <c r="AR212" t="s">
        <v>630</v>
      </c>
    </row>
    <row r="213" spans="43:44" x14ac:dyDescent="0.2">
      <c r="AQ213" t="s">
        <v>631</v>
      </c>
      <c r="AR213" t="s">
        <v>632</v>
      </c>
    </row>
    <row r="214" spans="43:44" x14ac:dyDescent="0.2">
      <c r="AQ214" t="s">
        <v>633</v>
      </c>
      <c r="AR214" t="s">
        <v>632</v>
      </c>
    </row>
    <row r="215" spans="43:44" x14ac:dyDescent="0.2">
      <c r="AQ215" t="s">
        <v>634</v>
      </c>
      <c r="AR215" t="s">
        <v>634</v>
      </c>
    </row>
    <row r="216" spans="43:44" x14ac:dyDescent="0.2">
      <c r="AQ216" t="s">
        <v>635</v>
      </c>
      <c r="AR216" t="s">
        <v>635</v>
      </c>
    </row>
    <row r="217" spans="43:44" x14ac:dyDescent="0.2">
      <c r="AQ217" t="s">
        <v>636</v>
      </c>
      <c r="AR217" t="s">
        <v>637</v>
      </c>
    </row>
    <row r="218" spans="43:44" x14ac:dyDescent="0.2">
      <c r="AQ218" t="s">
        <v>638</v>
      </c>
      <c r="AR218" t="s">
        <v>639</v>
      </c>
    </row>
    <row r="219" spans="43:44" x14ac:dyDescent="0.2">
      <c r="AQ219" t="s">
        <v>640</v>
      </c>
      <c r="AR219" t="s">
        <v>640</v>
      </c>
    </row>
    <row r="220" spans="43:44" x14ac:dyDescent="0.2">
      <c r="AQ220" t="s">
        <v>641</v>
      </c>
      <c r="AR220" t="s">
        <v>642</v>
      </c>
    </row>
    <row r="222" spans="43:44" x14ac:dyDescent="0.2">
      <c r="AQ222" s="520"/>
      <c r="AR222" s="84"/>
    </row>
  </sheetData>
  <sheetProtection password="BD1F" sheet="1" objects="1" scenarios="1" autoFilter="0"/>
  <sortState ref="AQ2:AR220">
    <sortCondition ref="AQ3:AQ220"/>
  </sortState>
  <mergeCells count="9">
    <mergeCell ref="B50:C50"/>
    <mergeCell ref="B59:C59"/>
    <mergeCell ref="I1:AO1"/>
    <mergeCell ref="B3:C3"/>
    <mergeCell ref="B15:C15"/>
    <mergeCell ref="B21:C21"/>
    <mergeCell ref="B27:C27"/>
    <mergeCell ref="B35:C35"/>
    <mergeCell ref="B46:C46"/>
  </mergeCells>
  <phoneticPr fontId="38" type="noConversion"/>
  <conditionalFormatting sqref="B57:C58">
    <cfRule type="expression" dxfId="316" priority="2" stopIfTrue="1">
      <formula>CAIXA.Modo=FALSE</formula>
    </cfRule>
  </conditionalFormatting>
  <conditionalFormatting sqref="B59:C61">
    <cfRule type="expression" dxfId="315" priority="3" stopIfTrue="1">
      <formula>CAIXA.Modo=FALSE</formula>
    </cfRule>
  </conditionalFormatting>
  <dataValidations count="7">
    <dataValidation type="date" allowBlank="1" showErrorMessage="1" errorTitle="Dados inválidos" error="Digite somente datas válidas no formato mm/aaaa." sqref="C19 C25 C36 C41 C47:C48">
      <formula1>36526</formula1>
      <formula2>72686</formula2>
    </dataValidation>
    <dataValidation type="list" allowBlank="1" showErrorMessage="1" sqref="C18">
      <formula1>"(SELECIONAR),NÃO SE APLICA,DESONERADO,NÃO DESONERADO"</formula1>
      <formula2>0</formula2>
    </dataValidation>
    <dataValidation type="decimal" allowBlank="1" showErrorMessage="1" error="Digite um valor em percentual._x000a__x000a_Ou seja um valor de 0% (zero) até 100% (cem). " sqref="C11 C13:C14">
      <formula1>0</formula1>
      <formula2>1</formula2>
    </dataValidation>
    <dataValidation type="list" allowBlank="1" showErrorMessage="1" sqref="C4">
      <formula1>"(SELECIONAR),OGU,FGTS"</formula1>
      <formula2>0</formula2>
    </dataValidation>
    <dataValidation type="decimal" operator="greaterThan" allowBlank="1" showErrorMessage="1" error="Digite um valor maior do que 0." sqref="C12">
      <formula1>0</formula1>
      <formula2>0</formula2>
    </dataValidation>
    <dataValidation type="list" allowBlank="1" showErrorMessage="1" sqref="C40">
      <formula1>"(SELECIONAR),INDEFINIDO / NÃO SE APLICA,EMPREITADA POR PREÇO GLOBAL,EMPREITADA POR PREÇO UNITÁRIO,EMPREITADA INTEGRAL,TAREFA,CONTRATAÇÃO INTEGRADA,ADM. DIRETA"</formula1>
      <formula2>0</formula2>
    </dataValidation>
    <dataValidation type="list" allowBlank="1" showErrorMessage="1" sqref="C31">
      <formula1>"Tradicional,TransfereGOV"</formula1>
    </dataValidation>
  </dataValidations>
  <pageMargins left="0.78740157480314998" right="0.78740157480314998" top="0.78740157480314998" bottom="0.78740157480314998" header="5.7086614173228396" footer="0.59055118110236204"/>
  <pageSetup paperSize="9" scale="44" firstPageNumber="0" fitToHeight="0" orientation="portrait" horizontalDpi="300" verticalDpi="300" r:id="rId1"/>
  <headerFooter alignWithMargins="0">
    <oddHeader>&amp;L_</oddHeader>
    <oddFooter>&amp;LPMv3.10&amp;R&amp;P / &amp;N</oddFoot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4">
    <pageSetUpPr fitToPage="1"/>
  </sheetPr>
  <dimension ref="A1:Z146"/>
  <sheetViews>
    <sheetView showGridLines="0" view="pageBreakPreview" topLeftCell="H1" zoomScaleNormal="100" zoomScaleSheetLayoutView="100" workbookViewId="0">
      <pane ySplit="11" topLeftCell="A12" activePane="bottomLeft" state="frozen"/>
      <selection activeCell="E1" sqref="E1"/>
      <selection pane="bottomLeft"/>
    </sheetView>
  </sheetViews>
  <sheetFormatPr defaultRowHeight="12.75" x14ac:dyDescent="0.2"/>
  <cols>
    <col min="1" max="4" width="5.5703125" style="49" hidden="1" customWidth="1"/>
    <col min="5" max="6" width="11.42578125" style="49" hidden="1" customWidth="1"/>
    <col min="7" max="7" width="11.85546875" style="49" hidden="1" customWidth="1"/>
    <col min="8" max="8" width="10.5703125" customWidth="1"/>
    <col min="9" max="9" width="3.5703125" customWidth="1"/>
    <col min="10" max="15" width="10.5703125" style="49" customWidth="1"/>
    <col min="16" max="16" width="12.85546875" style="49" customWidth="1"/>
    <col min="17" max="19" width="10.5703125" style="49" customWidth="1"/>
  </cols>
  <sheetData>
    <row r="1" spans="1:21" ht="15.75" x14ac:dyDescent="0.25">
      <c r="E1" s="50" t="s">
        <v>643</v>
      </c>
      <c r="F1" s="50" t="s">
        <v>644</v>
      </c>
      <c r="G1" s="50" t="s">
        <v>645</v>
      </c>
      <c r="O1" s="51" t="str">
        <f>"Quadro de Composição do BDI"</f>
        <v>Quadro de Composição do BDI</v>
      </c>
      <c r="R1" s="694" t="s">
        <v>646</v>
      </c>
      <c r="S1" s="694"/>
    </row>
    <row r="2" spans="1:21" x14ac:dyDescent="0.2">
      <c r="A2" s="49" t="s">
        <v>647</v>
      </c>
      <c r="B2" s="53" t="s">
        <v>648</v>
      </c>
      <c r="C2" s="49" t="str">
        <f t="shared" ref="C2:C49" si="0">CONCATENATE(A2,"-",B2)</f>
        <v>Construção e Reforma de Edifícios-AC</v>
      </c>
      <c r="E2" s="54">
        <v>0.03</v>
      </c>
      <c r="F2" s="54">
        <v>0.04</v>
      </c>
      <c r="G2" s="54">
        <v>5.5E-2</v>
      </c>
      <c r="R2" s="695" t="s">
        <v>649</v>
      </c>
      <c r="S2" s="695"/>
    </row>
    <row r="3" spans="1:21" x14ac:dyDescent="0.2">
      <c r="A3" s="49" t="str">
        <f>A2</f>
        <v>Construção e Reforma de Edifícios</v>
      </c>
      <c r="B3" s="53" t="s">
        <v>650</v>
      </c>
      <c r="C3" s="49" t="str">
        <f t="shared" si="0"/>
        <v>Construção e Reforma de Edifícios-SG</v>
      </c>
      <c r="E3" s="54">
        <v>8.0000000000000002E-3</v>
      </c>
      <c r="F3" s="54">
        <v>8.0000000000000002E-3</v>
      </c>
      <c r="G3" s="54">
        <v>0.01</v>
      </c>
    </row>
    <row r="4" spans="1:21" x14ac:dyDescent="0.2">
      <c r="A4" s="49" t="str">
        <f>A3</f>
        <v>Construção e Reforma de Edifícios</v>
      </c>
      <c r="B4" s="53" t="s">
        <v>651</v>
      </c>
      <c r="C4" s="49" t="str">
        <f t="shared" si="0"/>
        <v>Construção e Reforma de Edifícios-R</v>
      </c>
      <c r="E4" s="54">
        <v>9.7000000000000003E-3</v>
      </c>
      <c r="F4" s="54">
        <v>1.2699999999999999E-2</v>
      </c>
      <c r="G4" s="54">
        <v>1.2699999999999999E-2</v>
      </c>
      <c r="J4" s="689" t="s">
        <v>652</v>
      </c>
      <c r="K4" s="689"/>
      <c r="L4" s="689" t="s">
        <v>653</v>
      </c>
      <c r="M4" s="689"/>
      <c r="N4" s="689" t="s">
        <v>654</v>
      </c>
      <c r="O4" s="689"/>
      <c r="P4" s="689"/>
      <c r="Q4" s="689"/>
      <c r="R4" s="689"/>
      <c r="S4" s="689"/>
    </row>
    <row r="5" spans="1:21" ht="12.75" customHeight="1" x14ac:dyDescent="0.2">
      <c r="A5" s="49" t="str">
        <f>A4</f>
        <v>Construção e Reforma de Edifícios</v>
      </c>
      <c r="B5" s="53" t="s">
        <v>655</v>
      </c>
      <c r="C5" s="49" t="str">
        <f t="shared" si="0"/>
        <v>Construção e Reforma de Edifícios-DF</v>
      </c>
      <c r="E5" s="54">
        <v>5.8999999999999999E-3</v>
      </c>
      <c r="F5" s="54">
        <v>1.23E-2</v>
      </c>
      <c r="G5" s="54">
        <v>1.3899999999999999E-2</v>
      </c>
      <c r="J5" s="693">
        <f>Import.CR</f>
        <v>0</v>
      </c>
      <c r="K5" s="693"/>
      <c r="L5" s="693">
        <f>Import.TransfereGOV</f>
        <v>0</v>
      </c>
      <c r="M5" s="693"/>
      <c r="N5" s="693" t="str">
        <f>Import.Proponente</f>
        <v>PREFEITURA MUNICIPAL</v>
      </c>
      <c r="O5" s="693"/>
      <c r="P5" s="693"/>
      <c r="Q5" s="693"/>
      <c r="R5" s="693"/>
      <c r="S5" s="693"/>
    </row>
    <row r="6" spans="1:21" x14ac:dyDescent="0.2">
      <c r="A6" s="49" t="str">
        <f>A5</f>
        <v>Construção e Reforma de Edifícios</v>
      </c>
      <c r="B6" s="53" t="s">
        <v>656</v>
      </c>
      <c r="C6" s="49" t="str">
        <f t="shared" si="0"/>
        <v>Construção e Reforma de Edifícios-L</v>
      </c>
      <c r="E6" s="54">
        <v>6.1600000000000002E-2</v>
      </c>
      <c r="F6" s="54">
        <v>7.400000000000001E-2</v>
      </c>
      <c r="G6" s="54">
        <v>8.9600000000000013E-2</v>
      </c>
      <c r="I6" s="682" t="s">
        <v>657</v>
      </c>
      <c r="J6" s="57"/>
      <c r="K6" s="57"/>
      <c r="L6" s="57"/>
      <c r="M6" s="57"/>
      <c r="N6" s="57"/>
      <c r="O6" s="57"/>
      <c r="P6" s="57"/>
      <c r="Q6" s="57"/>
      <c r="R6" s="57"/>
      <c r="S6" s="57"/>
    </row>
    <row r="7" spans="1:21" ht="25.5" x14ac:dyDescent="0.25">
      <c r="A7" s="49" t="str">
        <f>A6</f>
        <v>Construção e Reforma de Edifícios</v>
      </c>
      <c r="B7" s="58" t="s">
        <v>658</v>
      </c>
      <c r="C7" s="49" t="str">
        <f t="shared" si="0"/>
        <v>Construção e Reforma de Edifícios-BDI PAD</v>
      </c>
      <c r="E7" s="54">
        <v>0.2034</v>
      </c>
      <c r="F7" s="54">
        <v>0.22120000000000001</v>
      </c>
      <c r="G7" s="54">
        <v>0.25</v>
      </c>
      <c r="I7" s="682"/>
      <c r="J7" s="689" t="s">
        <v>659</v>
      </c>
      <c r="K7" s="689"/>
      <c r="L7" s="689"/>
      <c r="M7" s="689"/>
      <c r="N7" s="689"/>
      <c r="O7" s="689"/>
      <c r="P7" s="689"/>
      <c r="Q7" s="689"/>
      <c r="R7" s="689"/>
      <c r="S7" s="689"/>
      <c r="U7" s="522" t="str">
        <f ca="1">IF(OR(U10&lt;&gt;"",U11&lt;&gt;""),"Falta preencher os percentuais do ISS",IF(U14&lt;&gt;"","Falta preencher o BDI 1",IF(U54&lt;&gt;"","Falta preencher o BDI 2",IF(U94&lt;&gt;"","Falta preencher o BDI 3",""))))</f>
        <v/>
      </c>
    </row>
    <row r="8" spans="1:21" ht="15.75" x14ac:dyDescent="0.25">
      <c r="A8" s="49" t="s">
        <v>660</v>
      </c>
      <c r="B8" s="53" t="s">
        <v>648</v>
      </c>
      <c r="C8" s="49" t="str">
        <f t="shared" si="0"/>
        <v>Construção de Praças Urbanas, Rodovias, Ferrovias e recapeamento e pavimentação de vias urbanas-AC</v>
      </c>
      <c r="E8" s="54">
        <v>3.7999999999999999E-2</v>
      </c>
      <c r="F8" s="54">
        <v>4.0099999999999997E-2</v>
      </c>
      <c r="G8" s="54">
        <v>4.6699999999999998E-2</v>
      </c>
      <c r="I8" s="682"/>
      <c r="J8" s="698" t="str">
        <f>Import.Apelido&amp;" / "&amp;Import.DescLote</f>
        <v>COBERTURA DE QUADRA / COBERTURA DE QUADRA</v>
      </c>
      <c r="K8" s="698"/>
      <c r="L8" s="698"/>
      <c r="M8" s="698"/>
      <c r="N8" s="698"/>
      <c r="O8" s="698"/>
      <c r="P8" s="698"/>
      <c r="Q8" s="698"/>
      <c r="R8" s="698"/>
      <c r="S8" s="698"/>
      <c r="U8" s="522" t="str">
        <f ca="1">IF(U29="FORA DO INTERVALO","BDI 1 fora do intervalo",IF(U69="FORA DO INTERVALO","BDI 2 fora do intervalo",IF(U109="FORA DO INTERVALO","BDI 3 fora do intervalo","")))</f>
        <v/>
      </c>
    </row>
    <row r="9" spans="1:21" x14ac:dyDescent="0.2">
      <c r="A9" s="49" t="s">
        <v>660</v>
      </c>
      <c r="B9" s="53" t="s">
        <v>650</v>
      </c>
      <c r="C9" s="49" t="str">
        <f t="shared" si="0"/>
        <v>Construção de Praças Urbanas, Rodovias, Ferrovias e recapeamento e pavimentação de vias urbanas-SG</v>
      </c>
      <c r="E9" s="54">
        <v>3.2000000000000002E-3</v>
      </c>
      <c r="F9" s="54">
        <v>4.0000000000000001E-3</v>
      </c>
      <c r="G9" s="54">
        <v>7.4000000000000003E-3</v>
      </c>
      <c r="I9" s="682"/>
      <c r="J9" s="57"/>
      <c r="K9" s="57"/>
      <c r="L9" s="57"/>
      <c r="M9" s="57"/>
      <c r="N9" s="57"/>
      <c r="O9" s="57"/>
      <c r="P9" s="57"/>
      <c r="Q9" s="57"/>
      <c r="R9" s="57"/>
      <c r="S9" s="57"/>
    </row>
    <row r="10" spans="1:21" ht="12.75" customHeight="1" x14ac:dyDescent="0.2">
      <c r="A10" s="49" t="s">
        <v>660</v>
      </c>
      <c r="B10" s="53" t="s">
        <v>651</v>
      </c>
      <c r="C10" s="49" t="str">
        <f t="shared" si="0"/>
        <v>Construção de Praças Urbanas, Rodovias, Ferrovias e recapeamento e pavimentação de vias urbanas-R</v>
      </c>
      <c r="E10" s="54">
        <v>5.0000000000000001E-3</v>
      </c>
      <c r="F10" s="54">
        <v>5.6000000000000008E-3</v>
      </c>
      <c r="G10" s="54">
        <v>9.7000000000000003E-3</v>
      </c>
      <c r="I10" s="682"/>
      <c r="J10" s="699" t="s">
        <v>661</v>
      </c>
      <c r="K10" s="699"/>
      <c r="L10" s="699"/>
      <c r="M10" s="699"/>
      <c r="N10" s="699"/>
      <c r="O10" s="699"/>
      <c r="P10" s="699"/>
      <c r="Q10" s="699"/>
      <c r="R10" s="697">
        <v>1</v>
      </c>
      <c r="S10" s="697"/>
      <c r="U10" s="577" t="str">
        <f>IF(R10=0,"Falta definir a base de cálculo para o ISS","")</f>
        <v/>
      </c>
    </row>
    <row r="11" spans="1:21" ht="12.75" customHeight="1" x14ac:dyDescent="0.2">
      <c r="A11" s="49" t="s">
        <v>660</v>
      </c>
      <c r="B11" s="53" t="s">
        <v>655</v>
      </c>
      <c r="C11" s="49" t="str">
        <f t="shared" si="0"/>
        <v>Construção de Praças Urbanas, Rodovias, Ferrovias e recapeamento e pavimentação de vias urbanas-DF</v>
      </c>
      <c r="E11" s="54">
        <v>1.0200000000000001E-2</v>
      </c>
      <c r="F11" s="54">
        <v>1.11E-2</v>
      </c>
      <c r="G11" s="54">
        <v>1.21E-2</v>
      </c>
      <c r="I11" s="107" t="s">
        <v>662</v>
      </c>
      <c r="J11" s="696" t="s">
        <v>663</v>
      </c>
      <c r="K11" s="696"/>
      <c r="L11" s="696"/>
      <c r="M11" s="696"/>
      <c r="N11" s="696"/>
      <c r="O11" s="696"/>
      <c r="P11" s="696"/>
      <c r="Q11" s="696"/>
      <c r="R11" s="697">
        <v>0.03</v>
      </c>
      <c r="S11" s="697"/>
      <c r="U11" s="577" t="str">
        <f>IF(R11=0,"Falta definir a alíquota do ISS","")</f>
        <v/>
      </c>
    </row>
    <row r="12" spans="1:21" x14ac:dyDescent="0.2">
      <c r="A12" s="49" t="s">
        <v>660</v>
      </c>
      <c r="B12" s="53" t="s">
        <v>656</v>
      </c>
      <c r="C12" s="49" t="str">
        <f t="shared" si="0"/>
        <v>Construção de Praças Urbanas, Rodovias, Ferrovias e recapeamento e pavimentação de vias urbanas-L</v>
      </c>
      <c r="E12" s="54">
        <v>6.6400000000000001E-2</v>
      </c>
      <c r="F12" s="54">
        <v>7.2999999999999995E-2</v>
      </c>
      <c r="G12" s="54">
        <v>8.6899999999999991E-2</v>
      </c>
      <c r="I12" s="7" t="s">
        <v>538</v>
      </c>
      <c r="J12" s="59"/>
      <c r="K12" s="59"/>
      <c r="L12" s="59"/>
      <c r="M12" s="59"/>
      <c r="N12" s="59"/>
      <c r="O12" s="59"/>
      <c r="P12" s="59"/>
      <c r="Q12" s="59"/>
      <c r="R12" s="59"/>
      <c r="S12" s="59"/>
    </row>
    <row r="13" spans="1:21" ht="15" customHeight="1" x14ac:dyDescent="0.2">
      <c r="A13" s="49" t="s">
        <v>660</v>
      </c>
      <c r="B13" s="58" t="s">
        <v>658</v>
      </c>
      <c r="C13" s="49" t="str">
        <f t="shared" si="0"/>
        <v>Construção de Praças Urbanas, Rodovias, Ferrovias e recapeamento e pavimentação de vias urbanas-BDI PAD</v>
      </c>
      <c r="E13" s="54">
        <v>0.19600000000000001</v>
      </c>
      <c r="F13" s="54">
        <v>0.2097</v>
      </c>
      <c r="G13" s="54">
        <v>0.24230000000000002</v>
      </c>
      <c r="I13" s="7" t="s">
        <v>538</v>
      </c>
    </row>
    <row r="14" spans="1:21" ht="15.75" x14ac:dyDescent="0.25">
      <c r="A14" s="49" t="s">
        <v>664</v>
      </c>
      <c r="B14" s="53" t="s">
        <v>648</v>
      </c>
      <c r="C14" s="49" t="str">
        <f t="shared" si="0"/>
        <v>Construção de Redes de Abastecimento de Água, Coleta de Esgoto-AC</v>
      </c>
      <c r="E14" s="54">
        <v>3.4300000000000004E-2</v>
      </c>
      <c r="F14" s="54">
        <v>4.9299999999999997E-2</v>
      </c>
      <c r="G14" s="54">
        <v>6.7099999999999993E-2</v>
      </c>
      <c r="I14" s="7" t="s">
        <v>538</v>
      </c>
      <c r="J14" s="691" t="s">
        <v>665</v>
      </c>
      <c r="K14" s="691"/>
      <c r="L14" s="691"/>
      <c r="M14" s="691"/>
      <c r="N14" s="691"/>
      <c r="O14" s="691"/>
      <c r="P14" s="691"/>
      <c r="Q14" s="691"/>
      <c r="R14" s="691"/>
      <c r="S14" s="691"/>
      <c r="U14" s="522" t="str">
        <f ca="1">IF(COUNTIF(ORÇAMENTO!$V$15:$V$27,BDI_1.Título)=0,"",IF(OR(Import.BDI.Tipo1="(SELECIONAR)",Import.BDI.Tipo1="",U17&lt;&gt;"",S21=0,S22=0,S23=0,S24=0,S25=0,S26=0),"Falta preencher o BDI 1",""))</f>
        <v/>
      </c>
    </row>
    <row r="15" spans="1:21" x14ac:dyDescent="0.2">
      <c r="A15" s="49" t="str">
        <f>A14</f>
        <v>Construção de Redes de Abastecimento de Água, Coleta de Esgoto</v>
      </c>
      <c r="B15" s="53" t="s">
        <v>650</v>
      </c>
      <c r="C15" s="49" t="str">
        <f t="shared" si="0"/>
        <v>Construção de Redes de Abastecimento de Água, Coleta de Esgoto-SG</v>
      </c>
      <c r="E15" s="54">
        <v>2.8000000000000004E-3</v>
      </c>
      <c r="F15" s="54">
        <v>4.8999999999999998E-3</v>
      </c>
      <c r="G15" s="54">
        <v>7.4999999999999997E-3</v>
      </c>
      <c r="I15" s="7" t="s">
        <v>538</v>
      </c>
    </row>
    <row r="16" spans="1:21" x14ac:dyDescent="0.2">
      <c r="A16" s="49" t="str">
        <f>A15</f>
        <v>Construção de Redes de Abastecimento de Água, Coleta de Esgoto</v>
      </c>
      <c r="B16" s="53" t="s">
        <v>651</v>
      </c>
      <c r="C16" s="49" t="str">
        <f t="shared" si="0"/>
        <v>Construção de Redes de Abastecimento de Água, Coleta de Esgoto-R</v>
      </c>
      <c r="E16" s="54">
        <v>0.01</v>
      </c>
      <c r="F16" s="54">
        <v>1.3899999999999999E-2</v>
      </c>
      <c r="G16" s="54">
        <v>1.7399999999999999E-2</v>
      </c>
      <c r="I16" s="7" t="s">
        <v>538</v>
      </c>
      <c r="J16" s="689" t="s">
        <v>666</v>
      </c>
      <c r="K16" s="689"/>
      <c r="L16" s="689"/>
      <c r="M16" s="689"/>
      <c r="N16" s="689"/>
      <c r="O16" s="689"/>
      <c r="P16" s="689"/>
      <c r="Q16" s="689"/>
      <c r="R16" s="689"/>
      <c r="S16" s="689"/>
    </row>
    <row r="17" spans="1:26" ht="15" x14ac:dyDescent="0.25">
      <c r="A17" s="49" t="str">
        <f>A16</f>
        <v>Construção de Redes de Abastecimento de Água, Coleta de Esgoto</v>
      </c>
      <c r="B17" s="53" t="s">
        <v>655</v>
      </c>
      <c r="C17" s="49" t="str">
        <f t="shared" si="0"/>
        <v>Construção de Redes de Abastecimento de Água, Coleta de Esgoto-DF</v>
      </c>
      <c r="E17" s="54">
        <v>9.3999999999999986E-3</v>
      </c>
      <c r="F17" s="54">
        <v>9.8999999999999991E-3</v>
      </c>
      <c r="G17" s="54">
        <v>1.1699999999999999E-2</v>
      </c>
      <c r="I17" s="7" t="s">
        <v>538</v>
      </c>
      <c r="J17" s="690" t="s">
        <v>647</v>
      </c>
      <c r="K17" s="690"/>
      <c r="L17" s="690"/>
      <c r="M17" s="690"/>
      <c r="N17" s="690"/>
      <c r="O17" s="690"/>
      <c r="P17" s="690"/>
      <c r="Q17" s="690"/>
      <c r="R17" s="690"/>
      <c r="S17" s="690"/>
      <c r="T17" s="569" t="str">
        <f ca="1">IF(U17="","","◄")</f>
        <v/>
      </c>
      <c r="U17" s="568" t="str">
        <f ca="1">IF(AND(OR(S29&gt;0,COUNTIF(ORÇAMENTO!$V$15:$V$27,BDI_1.Título)&gt;0),OR(Import.BDI.Tipo1="(SELECIONAR)",Import.BDI.Tipo1="")),"Selecione o Tipo de obra","")</f>
        <v/>
      </c>
    </row>
    <row r="18" spans="1:26" x14ac:dyDescent="0.2">
      <c r="A18" s="49" t="str">
        <f>A17</f>
        <v>Construção de Redes de Abastecimento de Água, Coleta de Esgoto</v>
      </c>
      <c r="B18" s="53" t="s">
        <v>656</v>
      </c>
      <c r="C18" s="49" t="str">
        <f t="shared" si="0"/>
        <v>Construção de Redes de Abastecimento de Água, Coleta de Esgoto-L</v>
      </c>
      <c r="E18" s="54">
        <v>6.7400000000000002E-2</v>
      </c>
      <c r="F18" s="54">
        <v>8.0399999999999985E-2</v>
      </c>
      <c r="G18" s="54">
        <v>9.4E-2</v>
      </c>
      <c r="I18" s="7" t="s">
        <v>538</v>
      </c>
    </row>
    <row r="19" spans="1:26" ht="12.75" customHeight="1" x14ac:dyDescent="0.2">
      <c r="A19" s="49" t="str">
        <f>A18</f>
        <v>Construção de Redes de Abastecimento de Água, Coleta de Esgoto</v>
      </c>
      <c r="B19" s="58" t="s">
        <v>658</v>
      </c>
      <c r="C19" s="49" t="str">
        <f t="shared" si="0"/>
        <v>Construção de Redes de Abastecimento de Água, Coleta de Esgoto-BDI PAD</v>
      </c>
      <c r="E19" s="54">
        <v>0.20760000000000001</v>
      </c>
      <c r="F19" s="54">
        <v>0.24179999999999999</v>
      </c>
      <c r="G19" s="54">
        <v>0.26440000000000002</v>
      </c>
      <c r="I19" s="7" t="s">
        <v>538</v>
      </c>
      <c r="J19" s="688" t="s">
        <v>668</v>
      </c>
      <c r="K19" s="688"/>
      <c r="L19" s="688"/>
      <c r="M19" s="688"/>
      <c r="N19" s="688"/>
      <c r="O19" s="688"/>
      <c r="P19" s="688"/>
      <c r="Q19" s="688"/>
      <c r="R19" s="688" t="s">
        <v>669</v>
      </c>
      <c r="S19" s="679" t="s">
        <v>670</v>
      </c>
      <c r="U19" s="679" t="s">
        <v>671</v>
      </c>
      <c r="V19" s="679"/>
      <c r="W19" s="679"/>
      <c r="X19" s="687" t="s">
        <v>672</v>
      </c>
      <c r="Y19" s="687" t="s">
        <v>673</v>
      </c>
      <c r="Z19" s="687" t="s">
        <v>674</v>
      </c>
    </row>
    <row r="20" spans="1:26" ht="12.75" customHeight="1" x14ac:dyDescent="0.2">
      <c r="A20" s="49" t="s">
        <v>675</v>
      </c>
      <c r="B20" s="53" t="s">
        <v>648</v>
      </c>
      <c r="C20" s="49" t="str">
        <f t="shared" si="0"/>
        <v>Construção e Manutenção de Estações e Redes de Distribuição de Energia Elétrica-AC</v>
      </c>
      <c r="E20" s="54">
        <v>5.2900000000000003E-2</v>
      </c>
      <c r="F20" s="54">
        <v>5.9200000000000003E-2</v>
      </c>
      <c r="G20" s="54">
        <v>7.9299999999999995E-2</v>
      </c>
      <c r="I20" s="7" t="s">
        <v>538</v>
      </c>
      <c r="J20" s="688"/>
      <c r="K20" s="688"/>
      <c r="L20" s="688"/>
      <c r="M20" s="688"/>
      <c r="N20" s="688"/>
      <c r="O20" s="688"/>
      <c r="P20" s="688"/>
      <c r="Q20" s="688"/>
      <c r="R20" s="688"/>
      <c r="S20" s="679"/>
      <c r="U20" s="679"/>
      <c r="V20" s="679"/>
      <c r="W20" s="679"/>
      <c r="X20" s="687"/>
      <c r="Y20" s="687"/>
      <c r="Z20" s="687"/>
    </row>
    <row r="21" spans="1:26" ht="15" customHeight="1" x14ac:dyDescent="0.2">
      <c r="A21" s="49" t="str">
        <f>A20</f>
        <v>Construção e Manutenção de Estações e Redes de Distribuição de Energia Elétrica</v>
      </c>
      <c r="B21" s="53" t="s">
        <v>650</v>
      </c>
      <c r="C21" s="49" t="str">
        <f t="shared" si="0"/>
        <v>Construção e Manutenção de Estações e Redes de Distribuição de Energia Elétrica-SG</v>
      </c>
      <c r="E21" s="54">
        <v>2.5000000000000001E-3</v>
      </c>
      <c r="F21" s="54">
        <v>5.1000000000000004E-3</v>
      </c>
      <c r="G21" s="54">
        <v>5.6000000000000008E-3</v>
      </c>
      <c r="I21" s="7" t="s">
        <v>538</v>
      </c>
      <c r="J21" s="675" t="str">
        <f>IF($J$17=$A$146,"Encargos Sociais incidentes sobre a mão de obra","Administração Central")</f>
        <v>Administração Central</v>
      </c>
      <c r="K21" s="675"/>
      <c r="L21" s="675"/>
      <c r="M21" s="675"/>
      <c r="N21" s="675"/>
      <c r="O21" s="675"/>
      <c r="P21" s="675"/>
      <c r="Q21" s="675"/>
      <c r="R21" s="60" t="str">
        <f>IF($J17=$A$146,"K1","AC")</f>
        <v>AC</v>
      </c>
      <c r="S21" s="61">
        <v>0.04</v>
      </c>
      <c r="T21" s="578" t="str">
        <f ca="1">IF(AND($U$14&lt;&gt;"",S21=""),"◄","")</f>
        <v/>
      </c>
      <c r="U21" s="692" t="str">
        <f>IFERROR(IF(AND(S21&gt;=X21,S21&lt;=Z21),"OK","FORA DO INTERVALO"),"-")</f>
        <v>OK</v>
      </c>
      <c r="V21" s="692"/>
      <c r="W21" s="692"/>
      <c r="X21" s="62">
        <f>VLOOKUP(CONCATENATE(J17,"-",R21),$C$2:$G$136,3,FALSE)</f>
        <v>0.03</v>
      </c>
      <c r="Y21" s="62">
        <f>VLOOKUP(CONCATENATE(J17,"-",R21),$C$2:$G$136,4,FALSE)</f>
        <v>0.04</v>
      </c>
      <c r="Z21" s="62">
        <f>VLOOKUP(CONCATENATE(J17,"-",R21),$C$2:$G$136,5,FALSE)</f>
        <v>5.5E-2</v>
      </c>
    </row>
    <row r="22" spans="1:26" ht="15" customHeight="1" x14ac:dyDescent="0.2">
      <c r="A22" s="49" t="str">
        <f>A21</f>
        <v>Construção e Manutenção de Estações e Redes de Distribuição de Energia Elétrica</v>
      </c>
      <c r="B22" s="53" t="s">
        <v>651</v>
      </c>
      <c r="C22" s="49" t="str">
        <f t="shared" si="0"/>
        <v>Construção e Manutenção de Estações e Redes de Distribuição de Energia Elétrica-R</v>
      </c>
      <c r="E22" s="54">
        <v>0.01</v>
      </c>
      <c r="F22" s="54">
        <v>1.4800000000000001E-2</v>
      </c>
      <c r="G22" s="54">
        <v>1.9699999999999999E-2</v>
      </c>
      <c r="I22" s="7" t="s">
        <v>538</v>
      </c>
      <c r="J22" s="675" t="str">
        <f>IF($J$17=$A$146,"Administração Central da empresa ou consultoria - overhead","Seguro e Garantia")</f>
        <v>Seguro e Garantia</v>
      </c>
      <c r="K22" s="675"/>
      <c r="L22" s="675"/>
      <c r="M22" s="675"/>
      <c r="N22" s="675"/>
      <c r="O22" s="675"/>
      <c r="P22" s="675"/>
      <c r="Q22" s="675"/>
      <c r="R22" s="60" t="str">
        <f>IF($J17=$A$146,"K2","SG")</f>
        <v>SG</v>
      </c>
      <c r="S22" s="61">
        <v>8.0000000000000002E-3</v>
      </c>
      <c r="T22" s="578" t="str">
        <f t="shared" ref="T22:T26" ca="1" si="1">IF(AND($U$14&lt;&gt;"",S22=""),"◄","")</f>
        <v/>
      </c>
      <c r="U22" s="676" t="str">
        <f t="shared" ref="U22:U27" si="2">IFERROR(IF(AND(S22&gt;=X22,S22&lt;=Z22),"OK","FORA DO INTERVALO"),"-")</f>
        <v>OK</v>
      </c>
      <c r="V22" s="677"/>
      <c r="W22" s="678"/>
      <c r="X22" s="62">
        <f>VLOOKUP(CONCATENATE(J17,"-",R22),$C$2:$G$136,3,FALSE)</f>
        <v>8.0000000000000002E-3</v>
      </c>
      <c r="Y22" s="62">
        <f>VLOOKUP(CONCATENATE(J17,"-",R22),$C$2:$G$136,4,FALSE)</f>
        <v>8.0000000000000002E-3</v>
      </c>
      <c r="Z22" s="62">
        <f>VLOOKUP(CONCATENATE(J17,"-",R22),$C$2:$G$136,5,FALSE)</f>
        <v>0.01</v>
      </c>
    </row>
    <row r="23" spans="1:26" ht="15" customHeight="1" x14ac:dyDescent="0.2">
      <c r="A23" s="49" t="str">
        <f>A22</f>
        <v>Construção e Manutenção de Estações e Redes de Distribuição de Energia Elétrica</v>
      </c>
      <c r="B23" s="53" t="s">
        <v>655</v>
      </c>
      <c r="C23" s="49" t="str">
        <f t="shared" si="0"/>
        <v>Construção e Manutenção de Estações e Redes de Distribuição de Energia Elétrica-DF</v>
      </c>
      <c r="E23" s="54">
        <v>1.01E-2</v>
      </c>
      <c r="F23" s="54">
        <v>1.0700000000000001E-2</v>
      </c>
      <c r="G23" s="54">
        <v>1.11E-2</v>
      </c>
      <c r="I23" s="7" t="s">
        <v>538</v>
      </c>
      <c r="J23" s="675" t="str">
        <f>IF($J$17=$A$146,"","Risco")</f>
        <v>Risco</v>
      </c>
      <c r="K23" s="675"/>
      <c r="L23" s="675"/>
      <c r="M23" s="675"/>
      <c r="N23" s="675"/>
      <c r="O23" s="675"/>
      <c r="P23" s="675"/>
      <c r="Q23" s="675"/>
      <c r="R23" s="60" t="str">
        <f>IF($J17=$A$146,"","R")</f>
        <v>R</v>
      </c>
      <c r="S23" s="61">
        <v>1.2699999999999999E-2</v>
      </c>
      <c r="T23" s="578" t="str">
        <f t="shared" ca="1" si="1"/>
        <v/>
      </c>
      <c r="U23" s="676" t="str">
        <f t="shared" si="2"/>
        <v>OK</v>
      </c>
      <c r="V23" s="677"/>
      <c r="W23" s="678"/>
      <c r="X23" s="62">
        <f>VLOOKUP(CONCATENATE(J17,"-",R23),$C$2:$G$136,3,FALSE)</f>
        <v>9.7000000000000003E-3</v>
      </c>
      <c r="Y23" s="62">
        <f>VLOOKUP(CONCATENATE(J17,"-",R23),$C$2:$G$136,4,FALSE)</f>
        <v>1.2699999999999999E-2</v>
      </c>
      <c r="Z23" s="62">
        <f>VLOOKUP(CONCATENATE(J17,"-",R23),$C$2:$G$136,5,FALSE)</f>
        <v>1.2699999999999999E-2</v>
      </c>
    </row>
    <row r="24" spans="1:26" ht="15" customHeight="1" x14ac:dyDescent="0.2">
      <c r="A24" s="49" t="str">
        <f>A23</f>
        <v>Construção e Manutenção de Estações e Redes de Distribuição de Energia Elétrica</v>
      </c>
      <c r="B24" s="53" t="s">
        <v>656</v>
      </c>
      <c r="C24" s="49" t="str">
        <f t="shared" si="0"/>
        <v>Construção e Manutenção de Estações e Redes de Distribuição de Energia Elétrica-L</v>
      </c>
      <c r="E24" s="54">
        <v>0.08</v>
      </c>
      <c r="F24" s="54">
        <v>8.3100000000000007E-2</v>
      </c>
      <c r="G24" s="54">
        <v>9.5100000000000004E-2</v>
      </c>
      <c r="I24" s="7" t="s">
        <v>538</v>
      </c>
      <c r="J24" s="675" t="str">
        <f>IF($J$17=$A$146,"","Despesas Financeiras")</f>
        <v>Despesas Financeiras</v>
      </c>
      <c r="K24" s="675"/>
      <c r="L24" s="675"/>
      <c r="M24" s="675"/>
      <c r="N24" s="675"/>
      <c r="O24" s="675"/>
      <c r="P24" s="675"/>
      <c r="Q24" s="675"/>
      <c r="R24" s="60" t="str">
        <f>IF($J17=$A$146,"","DF")</f>
        <v>DF</v>
      </c>
      <c r="S24" s="61">
        <v>1.23E-2</v>
      </c>
      <c r="T24" s="578" t="str">
        <f t="shared" ca="1" si="1"/>
        <v/>
      </c>
      <c r="U24" s="676" t="str">
        <f t="shared" si="2"/>
        <v>OK</v>
      </c>
      <c r="V24" s="677"/>
      <c r="W24" s="678"/>
      <c r="X24" s="62">
        <f>VLOOKUP(CONCATENATE(J17,"-",R24),$C$2:$G$136,3,FALSE)</f>
        <v>5.8999999999999999E-3</v>
      </c>
      <c r="Y24" s="62">
        <f>VLOOKUP(CONCATENATE(J17,"-",R24),$C$2:$G$136,4,FALSE)</f>
        <v>1.23E-2</v>
      </c>
      <c r="Z24" s="62">
        <f>VLOOKUP(CONCATENATE(J17,"-",R24),$C$2:$G$136,5,FALSE)</f>
        <v>1.3899999999999999E-2</v>
      </c>
    </row>
    <row r="25" spans="1:26" ht="15" customHeight="1" x14ac:dyDescent="0.2">
      <c r="A25" s="49" t="str">
        <f>A24</f>
        <v>Construção e Manutenção de Estações e Redes de Distribuição de Energia Elétrica</v>
      </c>
      <c r="B25" s="58" t="s">
        <v>658</v>
      </c>
      <c r="C25" s="49" t="str">
        <f t="shared" si="0"/>
        <v>Construção e Manutenção de Estações e Redes de Distribuição de Energia Elétrica-BDI PAD</v>
      </c>
      <c r="E25" s="54">
        <v>0.24</v>
      </c>
      <c r="F25" s="54">
        <v>0.25840000000000002</v>
      </c>
      <c r="G25" s="54">
        <v>0.27860000000000001</v>
      </c>
      <c r="I25" s="7" t="s">
        <v>538</v>
      </c>
      <c r="J25" s="675" t="str">
        <f>IF($J$17=$A$146,"Margem bruta da empresa de consultoria","Lucro")</f>
        <v>Lucro</v>
      </c>
      <c r="K25" s="675"/>
      <c r="L25" s="675"/>
      <c r="M25" s="675"/>
      <c r="N25" s="675"/>
      <c r="O25" s="675"/>
      <c r="P25" s="675"/>
      <c r="Q25" s="675"/>
      <c r="R25" s="60" t="str">
        <f>IF($J17=$A$146,"K3","L")</f>
        <v>L</v>
      </c>
      <c r="S25" s="61">
        <v>7.3999999999999996E-2</v>
      </c>
      <c r="T25" s="578" t="str">
        <f t="shared" ca="1" si="1"/>
        <v/>
      </c>
      <c r="U25" s="676" t="str">
        <f t="shared" si="2"/>
        <v>OK</v>
      </c>
      <c r="V25" s="677"/>
      <c r="W25" s="678"/>
      <c r="X25" s="62">
        <f>VLOOKUP(CONCATENATE(J17,"-",R25),$C$2:$G$136,3,FALSE)</f>
        <v>6.1600000000000002E-2</v>
      </c>
      <c r="Y25" s="62">
        <f>VLOOKUP(CONCATENATE(J17,"-",R25),$C$2:$G$136,4,FALSE)</f>
        <v>7.400000000000001E-2</v>
      </c>
      <c r="Z25" s="62">
        <f>VLOOKUP(CONCATENATE(J17,"-",R25),$C$2:$G$136,5,FALSE)</f>
        <v>8.9600000000000013E-2</v>
      </c>
    </row>
    <row r="26" spans="1:26" ht="15" customHeight="1" x14ac:dyDescent="0.2">
      <c r="A26" s="49" t="s">
        <v>676</v>
      </c>
      <c r="B26" s="53" t="s">
        <v>648</v>
      </c>
      <c r="C26" s="49" t="str">
        <f t="shared" si="0"/>
        <v>Obras Portuárias, Marítimas e Fluviais-AC</v>
      </c>
      <c r="E26" s="54">
        <v>0.04</v>
      </c>
      <c r="F26" s="54">
        <v>5.5199999999999999E-2</v>
      </c>
      <c r="G26" s="54">
        <v>7.85E-2</v>
      </c>
      <c r="I26" s="7" t="s">
        <v>538</v>
      </c>
      <c r="J26" s="675" t="s">
        <v>677</v>
      </c>
      <c r="K26" s="675"/>
      <c r="L26" s="675"/>
      <c r="M26" s="675"/>
      <c r="N26" s="675"/>
      <c r="O26" s="675"/>
      <c r="P26" s="675"/>
      <c r="Q26" s="675"/>
      <c r="R26" s="60" t="s">
        <v>458</v>
      </c>
      <c r="S26" s="61">
        <v>3.6499999999999998E-2</v>
      </c>
      <c r="T26" s="578" t="str">
        <f t="shared" ca="1" si="1"/>
        <v/>
      </c>
      <c r="U26" s="676" t="str">
        <f t="shared" si="2"/>
        <v>OK</v>
      </c>
      <c r="V26" s="677"/>
      <c r="W26" s="678"/>
      <c r="X26" s="62">
        <v>3.6499999999999998E-2</v>
      </c>
      <c r="Y26" s="62">
        <v>3.6499999999999998E-2</v>
      </c>
      <c r="Z26" s="62">
        <v>3.6499999999999998E-2</v>
      </c>
    </row>
    <row r="27" spans="1:26" ht="15" customHeight="1" x14ac:dyDescent="0.2">
      <c r="A27" s="49" t="str">
        <f>A26</f>
        <v>Obras Portuárias, Marítimas e Fluviais</v>
      </c>
      <c r="B27" s="53" t="s">
        <v>650</v>
      </c>
      <c r="C27" s="49" t="str">
        <f t="shared" si="0"/>
        <v>Obras Portuárias, Marítimas e Fluviais-SG</v>
      </c>
      <c r="E27" s="54">
        <v>8.1000000000000013E-3</v>
      </c>
      <c r="F27" s="54">
        <v>1.2199999999999999E-2</v>
      </c>
      <c r="G27" s="54">
        <v>1.9900000000000001E-2</v>
      </c>
      <c r="I27" s="7" t="s">
        <v>538</v>
      </c>
      <c r="J27" s="675" t="s">
        <v>678</v>
      </c>
      <c r="K27" s="675"/>
      <c r="L27" s="675"/>
      <c r="M27" s="675"/>
      <c r="N27" s="675"/>
      <c r="O27" s="675"/>
      <c r="P27" s="675"/>
      <c r="Q27" s="675"/>
      <c r="R27" s="60" t="s">
        <v>679</v>
      </c>
      <c r="S27" s="62">
        <f ca="1">IF(AND($J17&lt;&gt;$A$145,COUNTA(OFFSET(S20,1,0,6))&gt;0),$R$11*$R$10,0)</f>
        <v>0.03</v>
      </c>
      <c r="U27" s="676" t="str">
        <f t="shared" ca="1" si="2"/>
        <v>OK</v>
      </c>
      <c r="V27" s="677"/>
      <c r="W27" s="678"/>
      <c r="X27" s="62">
        <v>0</v>
      </c>
      <c r="Y27" s="62">
        <v>2.5000000000000001E-2</v>
      </c>
      <c r="Z27" s="62">
        <v>0.05</v>
      </c>
    </row>
    <row r="28" spans="1:26" ht="15" customHeight="1" x14ac:dyDescent="0.2">
      <c r="A28" s="49" t="str">
        <f>A27</f>
        <v>Obras Portuárias, Marítimas e Fluviais</v>
      </c>
      <c r="B28" s="53" t="s">
        <v>651</v>
      </c>
      <c r="C28" s="49" t="str">
        <f t="shared" si="0"/>
        <v>Obras Portuárias, Marítimas e Fluviais-R</v>
      </c>
      <c r="E28" s="54">
        <v>1.46E-2</v>
      </c>
      <c r="F28" s="54">
        <v>2.3199999999999998E-2</v>
      </c>
      <c r="G28" s="54">
        <v>3.1600000000000003E-2</v>
      </c>
      <c r="I28" s="7" t="s">
        <v>538</v>
      </c>
      <c r="J28" s="675" t="s">
        <v>680</v>
      </c>
      <c r="K28" s="675"/>
      <c r="L28" s="675"/>
      <c r="M28" s="675"/>
      <c r="N28" s="675"/>
      <c r="O28" s="675"/>
      <c r="P28" s="675"/>
      <c r="Q28" s="675"/>
      <c r="R28" s="60" t="s">
        <v>681</v>
      </c>
      <c r="S28" s="62" cm="1">
        <f t="array" aca="1" ref="S28" ca="1">IF(BDI.Opcao&lt;&gt;"Desonerado",0,IF(AND($J17&lt;&gt;$A$145,COUNTA(OFFSET(S20,1,0,6))&gt;0),IF(YEAR(Import.DataBase)&lt;2025,4.5%,IF(YEAR(Import.DataBase)=2025,3.6%,IF(YEAR(Import.DataBase)=2026,2.7%,IF(YEAR(Import.DataBase)=2027,1.8%,0%)))),0%))</f>
        <v>0</v>
      </c>
      <c r="U28" s="692" t="s">
        <v>682</v>
      </c>
      <c r="V28" s="692"/>
      <c r="W28" s="692"/>
      <c r="X28" s="63">
        <f ca="1">$S28</f>
        <v>0</v>
      </c>
      <c r="Y28" s="63">
        <f ca="1">$S28</f>
        <v>0</v>
      </c>
      <c r="Z28" s="63">
        <f ca="1">$S28</f>
        <v>0</v>
      </c>
    </row>
    <row r="29" spans="1:26" ht="15" customHeight="1" x14ac:dyDescent="0.2">
      <c r="A29" s="49" t="str">
        <f>A28</f>
        <v>Obras Portuárias, Marítimas e Fluviais</v>
      </c>
      <c r="B29" s="53" t="s">
        <v>655</v>
      </c>
      <c r="C29" s="49" t="str">
        <f t="shared" si="0"/>
        <v>Obras Portuárias, Marítimas e Fluviais-DF</v>
      </c>
      <c r="E29" s="54">
        <v>9.3999999999999986E-3</v>
      </c>
      <c r="F29" s="54">
        <v>1.0200000000000001E-2</v>
      </c>
      <c r="G29" s="54">
        <v>1.3300000000000001E-2</v>
      </c>
      <c r="I29" s="7" t="s">
        <v>538</v>
      </c>
      <c r="J29" s="675" t="s">
        <v>683</v>
      </c>
      <c r="K29" s="675"/>
      <c r="L29" s="675"/>
      <c r="M29" s="675"/>
      <c r="N29" s="675"/>
      <c r="O29" s="675"/>
      <c r="P29" s="675"/>
      <c r="Q29" s="675"/>
      <c r="R29" s="64" t="s">
        <v>658</v>
      </c>
      <c r="S29" s="62">
        <f ca="1">IF($J17=$A$145,0,ROUND((((1+S21+S22+S23)*(1+S24)*(1+S25)/(1-(S26+S27)))-1),4))</f>
        <v>0.2354</v>
      </c>
      <c r="U29" s="679" t="str">
        <f ca="1">IFERROR(IF(OR($J$17=$A$146,$J$17=$A$145,AND(S29&gt;=X29,S29&lt;=Z29)),"OK","FORA DO INTERVALO"),IF(S29=0,"OK","Selecione o Tipo de obra"))</f>
        <v>OK</v>
      </c>
      <c r="V29" s="679"/>
      <c r="W29" s="679"/>
      <c r="X29" s="62">
        <f>IF($J17=$A$145,0,VLOOKUP(CONCATENATE($J17,"-",$R29),$C$2:$G$136,3,FALSE))</f>
        <v>0.2034</v>
      </c>
      <c r="Y29" s="62">
        <f>IF($J17=$A$145,0,VLOOKUP(CONCATENATE($J17,"-",$R29),$C$2:$G$136,4,FALSE))</f>
        <v>0.22120000000000001</v>
      </c>
      <c r="Z29" s="62">
        <f>IF($J17=$A$145,0,VLOOKUP(CONCATENATE($J17,"-",$R29),$C$2:$G$136,5,FALSE))</f>
        <v>0.25</v>
      </c>
    </row>
    <row r="30" spans="1:26" ht="15" customHeight="1" x14ac:dyDescent="0.2">
      <c r="A30" s="49" t="str">
        <f>A29</f>
        <v>Obras Portuárias, Marítimas e Fluviais</v>
      </c>
      <c r="B30" s="53" t="s">
        <v>656</v>
      </c>
      <c r="C30" s="49" t="str">
        <f t="shared" si="0"/>
        <v>Obras Portuárias, Marítimas e Fluviais-L</v>
      </c>
      <c r="E30" s="54">
        <v>7.1399999999999991E-2</v>
      </c>
      <c r="F30" s="54">
        <v>8.4000000000000005E-2</v>
      </c>
      <c r="G30" s="54">
        <v>0.1043</v>
      </c>
      <c r="I30" s="7" t="s">
        <v>538</v>
      </c>
      <c r="J30" s="680" t="s">
        <v>684</v>
      </c>
      <c r="K30" s="680"/>
      <c r="L30" s="680"/>
      <c r="M30" s="680"/>
      <c r="N30" s="680"/>
      <c r="O30" s="680"/>
      <c r="P30" s="680"/>
      <c r="Q30" s="680"/>
      <c r="R30" s="65" t="s">
        <v>685</v>
      </c>
      <c r="S30" s="66">
        <f ca="1">IF($J17=$A$145,0,ROUND((((1+S21+S22+S23)*(1+S24)*(1+S25)/(1-(S26+S27+S28)))-1),4))</f>
        <v>0.2354</v>
      </c>
    </row>
    <row r="31" spans="1:26" ht="15" customHeight="1" x14ac:dyDescent="0.2">
      <c r="A31" s="49" t="str">
        <f>A30</f>
        <v>Obras Portuárias, Marítimas e Fluviais</v>
      </c>
      <c r="B31" s="58" t="s">
        <v>658</v>
      </c>
      <c r="C31" s="49" t="str">
        <f t="shared" si="0"/>
        <v>Obras Portuárias, Marítimas e Fluviais-BDI PAD</v>
      </c>
      <c r="E31" s="54">
        <v>0.22800000000000001</v>
      </c>
      <c r="F31" s="54">
        <v>0.27479999999999999</v>
      </c>
      <c r="G31" s="54">
        <v>0.3095</v>
      </c>
      <c r="I31" s="7" t="s">
        <v>538</v>
      </c>
    </row>
    <row r="32" spans="1:26" ht="15.75" x14ac:dyDescent="0.2">
      <c r="A32" s="49" t="s">
        <v>667</v>
      </c>
      <c r="B32" s="53" t="s">
        <v>648</v>
      </c>
      <c r="C32" s="49" t="str">
        <f t="shared" si="0"/>
        <v>Fornecimento de Materiais e Equipamentos (aquisição indireta - em conjunto com licitação de obras)-AC</v>
      </c>
      <c r="E32" s="54">
        <v>1.4999999999999999E-2</v>
      </c>
      <c r="F32" s="54">
        <v>3.4500000000000003E-2</v>
      </c>
      <c r="G32" s="54">
        <v>4.4900000000000002E-2</v>
      </c>
      <c r="I32" s="7" t="s">
        <v>538</v>
      </c>
      <c r="J32" s="67" t="str">
        <f ca="1">IF(U29&lt;&gt;"ok","X","")</f>
        <v/>
      </c>
      <c r="K32" s="681" t="str">
        <f ca="1">IF(U29&lt;&gt;"ok","Anexo: Relatório Técnico Circunstanciado justificando a adoção do percentual de cada parcela do BDI.","")</f>
        <v/>
      </c>
      <c r="L32" s="681"/>
      <c r="M32" s="681"/>
      <c r="N32" s="681"/>
      <c r="O32" s="681"/>
      <c r="P32" s="681"/>
      <c r="Q32" s="681"/>
      <c r="R32" s="681"/>
      <c r="S32" s="681"/>
    </row>
    <row r="33" spans="1:19" x14ac:dyDescent="0.2">
      <c r="A33" s="49" t="str">
        <f>A32</f>
        <v>Fornecimento de Materiais e Equipamentos (aquisição indireta - em conjunto com licitação de obras)</v>
      </c>
      <c r="B33" s="53" t="s">
        <v>650</v>
      </c>
      <c r="C33" s="49" t="str">
        <f t="shared" si="0"/>
        <v>Fornecimento de Materiais e Equipamentos (aquisição indireta - em conjunto com licitação de obras)-SG</v>
      </c>
      <c r="E33" s="54">
        <v>3.0000000000000001E-3</v>
      </c>
      <c r="F33" s="54">
        <v>4.7999999999999996E-3</v>
      </c>
      <c r="G33" s="54">
        <v>8.199999999999999E-3</v>
      </c>
      <c r="I33" s="7" t="s">
        <v>538</v>
      </c>
    </row>
    <row r="34" spans="1:19" x14ac:dyDescent="0.2">
      <c r="A34" s="49" t="str">
        <f>A33</f>
        <v>Fornecimento de Materiais e Equipamentos (aquisição indireta - em conjunto com licitação de obras)</v>
      </c>
      <c r="B34" s="53" t="s">
        <v>651</v>
      </c>
      <c r="C34" s="49" t="str">
        <f t="shared" si="0"/>
        <v>Fornecimento de Materiais e Equipamentos (aquisição indireta - em conjunto com licitação de obras)-R</v>
      </c>
      <c r="E34" s="54">
        <v>5.6000000000000008E-3</v>
      </c>
      <c r="F34" s="54">
        <v>8.5000000000000006E-3</v>
      </c>
      <c r="G34" s="54">
        <v>8.8999999999999999E-3</v>
      </c>
      <c r="I34" s="7" t="s">
        <v>538</v>
      </c>
      <c r="J34" s="683" t="s">
        <v>686</v>
      </c>
      <c r="K34" s="683"/>
      <c r="L34" s="683"/>
      <c r="M34" s="683"/>
      <c r="N34" s="683"/>
      <c r="O34" s="683"/>
      <c r="P34" s="683"/>
      <c r="Q34" s="683"/>
      <c r="R34" s="683"/>
      <c r="S34" s="683"/>
    </row>
    <row r="35" spans="1:19" ht="15.75" x14ac:dyDescent="0.25">
      <c r="A35" s="49" t="str">
        <f>A34</f>
        <v>Fornecimento de Materiais e Equipamentos (aquisição indireta - em conjunto com licitação de obras)</v>
      </c>
      <c r="B35" s="53" t="s">
        <v>655</v>
      </c>
      <c r="C35" s="49" t="str">
        <f t="shared" si="0"/>
        <v>Fornecimento de Materiais e Equipamentos (aquisição indireta - em conjunto com licitação de obras)-DF</v>
      </c>
      <c r="E35" s="54">
        <v>8.5000000000000006E-3</v>
      </c>
      <c r="F35" s="54">
        <v>8.5000000000000006E-3</v>
      </c>
      <c r="G35" s="54">
        <v>1.11E-2</v>
      </c>
      <c r="I35" s="7" t="s">
        <v>538</v>
      </c>
      <c r="J35" s="68"/>
      <c r="K35" s="68"/>
      <c r="L35" s="68"/>
      <c r="M35" s="684" t="s">
        <v>687</v>
      </c>
      <c r="N35" s="685" t="str">
        <f>IF($J17=$A$146,"(1+K1+K2)*(1+K3)","(1+AC + S + R + G)*(1 + DF)*(1+L)")</f>
        <v>(1+AC + S + R + G)*(1 + DF)*(1+L)</v>
      </c>
      <c r="O35" s="685"/>
      <c r="P35" s="685"/>
      <c r="Q35" s="686" t="s">
        <v>688</v>
      </c>
      <c r="R35" s="68"/>
      <c r="S35" s="68"/>
    </row>
    <row r="36" spans="1:19" ht="15.75" x14ac:dyDescent="0.2">
      <c r="A36" s="49" t="str">
        <f>A35</f>
        <v>Fornecimento de Materiais e Equipamentos (aquisição indireta - em conjunto com licitação de obras)</v>
      </c>
      <c r="B36" s="53" t="s">
        <v>656</v>
      </c>
      <c r="C36" s="49" t="str">
        <f t="shared" si="0"/>
        <v>Fornecimento de Materiais e Equipamentos (aquisição indireta - em conjunto com licitação de obras)-L</v>
      </c>
      <c r="E36" s="54">
        <v>3.5000000000000003E-2</v>
      </c>
      <c r="F36" s="54">
        <v>5.1100000000000007E-2</v>
      </c>
      <c r="G36" s="54">
        <v>6.2199999999999998E-2</v>
      </c>
      <c r="I36" s="7" t="s">
        <v>538</v>
      </c>
      <c r="J36" s="68"/>
      <c r="K36" s="68"/>
      <c r="L36" s="68"/>
      <c r="M36" s="684"/>
      <c r="N36" s="674" t="s">
        <v>689</v>
      </c>
      <c r="O36" s="674"/>
      <c r="P36" s="674"/>
      <c r="Q36" s="686"/>
      <c r="R36" s="68"/>
      <c r="S36" s="68"/>
    </row>
    <row r="37" spans="1:19" ht="15" customHeight="1" x14ac:dyDescent="0.2">
      <c r="A37" s="49" t="str">
        <f>A36</f>
        <v>Fornecimento de Materiais e Equipamentos (aquisição indireta - em conjunto com licitação de obras)</v>
      </c>
      <c r="B37" s="58" t="s">
        <v>658</v>
      </c>
      <c r="C37" s="49" t="str">
        <f t="shared" si="0"/>
        <v>Fornecimento de Materiais e Equipamentos (aquisição indireta - em conjunto com licitação de obras)-BDI PAD</v>
      </c>
      <c r="E37" s="54">
        <v>0.111</v>
      </c>
      <c r="F37" s="54">
        <v>0.14019999999999999</v>
      </c>
      <c r="G37" s="54">
        <v>0.16800000000000001</v>
      </c>
      <c r="I37" s="7" t="s">
        <v>538</v>
      </c>
      <c r="J37" s="72"/>
      <c r="K37" s="72"/>
      <c r="L37" s="72"/>
      <c r="M37" s="72"/>
      <c r="N37" s="72"/>
      <c r="O37" s="72"/>
      <c r="P37" s="72"/>
      <c r="Q37" s="72"/>
      <c r="R37" s="72"/>
      <c r="S37" s="72"/>
    </row>
    <row r="38" spans="1:19" ht="50.1" customHeight="1" x14ac:dyDescent="0.2">
      <c r="A38" s="49" t="s">
        <v>690</v>
      </c>
      <c r="B38" s="58" t="s">
        <v>648</v>
      </c>
      <c r="C38" s="49" t="str">
        <f t="shared" si="0"/>
        <v>Fornecimento de Materiais e Equipamentos (aquisição direta)-AC</v>
      </c>
      <c r="E38" s="54" t="s">
        <v>691</v>
      </c>
      <c r="F38" s="54" t="s">
        <v>691</v>
      </c>
      <c r="G38" s="54" t="s">
        <v>691</v>
      </c>
      <c r="I38" t="s">
        <v>538</v>
      </c>
      <c r="J38" s="668" t="str">
        <f>CONCATENATE("Declaro para os devidos fins que, conforme legislação tributária municipal, a base de cálculo deste tipo de obra corresponde à ",$R$10*100,"%, com a respectiva alíquota de ",$R$11*100,"%.")</f>
        <v>Declaro para os devidos fins que, conforme legislação tributária municipal, a base de cálculo deste tipo de obra corresponde à 100%, com a respectiva alíquota de 3%.</v>
      </c>
      <c r="K38" s="668"/>
      <c r="L38" s="668"/>
      <c r="M38" s="668"/>
      <c r="N38" s="668"/>
      <c r="O38" s="668"/>
      <c r="P38" s="668"/>
      <c r="Q38" s="668"/>
      <c r="R38" s="668"/>
      <c r="S38" s="668"/>
    </row>
    <row r="39" spans="1:19" x14ac:dyDescent="0.2">
      <c r="A39" s="49" t="s">
        <v>690</v>
      </c>
      <c r="B39" s="58" t="s">
        <v>650</v>
      </c>
      <c r="C39" s="49" t="str">
        <f t="shared" si="0"/>
        <v>Fornecimento de Materiais e Equipamentos (aquisição direta)-SG</v>
      </c>
      <c r="E39" s="54" t="s">
        <v>691</v>
      </c>
      <c r="F39" s="54" t="s">
        <v>691</v>
      </c>
      <c r="G39" s="54" t="s">
        <v>691</v>
      </c>
      <c r="I39" t="s">
        <v>538</v>
      </c>
    </row>
    <row r="40" spans="1:19" ht="50.1" customHeight="1" x14ac:dyDescent="0.2">
      <c r="A40" s="49" t="s">
        <v>690</v>
      </c>
      <c r="B40" s="58" t="s">
        <v>651</v>
      </c>
      <c r="C40" s="49" t="str">
        <f t="shared" si="0"/>
        <v>Fornecimento de Materiais e Equipamentos (aquisição direta)-R</v>
      </c>
      <c r="E40" s="54" t="s">
        <v>691</v>
      </c>
      <c r="F40" s="54" t="s">
        <v>691</v>
      </c>
      <c r="G40" s="54" t="s">
        <v>691</v>
      </c>
      <c r="I40" t="s">
        <v>538</v>
      </c>
      <c r="J40" s="668" t="str">
        <f ca="1">CONCATENATE("Declaro para os devidos fins que o regime de Contribuição Previdenciária sobre a Receita Bruta adotado para elaboração do orçamento foi ",IF(DESONERACAO="Sim","COM","SEM")," Desoneração, e que esta é a alternativa mais adequada para a Administração Pública.")</f>
        <v>Declaro para os devidos fins que o regime de Contribuição Previdenciária sobre a Receita Bruta adotado para elaboração do orçamento foi SEM Desoneração, e que esta é a alternativa mais adequada para a Administração Pública.</v>
      </c>
      <c r="K40" s="668"/>
      <c r="L40" s="668"/>
      <c r="M40" s="668"/>
      <c r="N40" s="668"/>
      <c r="O40" s="668"/>
      <c r="P40" s="668"/>
      <c r="Q40" s="668"/>
      <c r="R40" s="668"/>
      <c r="S40" s="668"/>
    </row>
    <row r="41" spans="1:19" x14ac:dyDescent="0.2">
      <c r="A41" s="49" t="s">
        <v>690</v>
      </c>
      <c r="B41" s="58" t="s">
        <v>655</v>
      </c>
      <c r="C41" s="49" t="str">
        <f t="shared" si="0"/>
        <v>Fornecimento de Materiais e Equipamentos (aquisição direta)-DF</v>
      </c>
      <c r="E41" s="54" t="s">
        <v>691</v>
      </c>
      <c r="F41" s="54" t="s">
        <v>691</v>
      </c>
      <c r="G41" s="54" t="s">
        <v>691</v>
      </c>
      <c r="I41" t="s">
        <v>538</v>
      </c>
    </row>
    <row r="42" spans="1:19" x14ac:dyDescent="0.2">
      <c r="A42" s="49" t="s">
        <v>690</v>
      </c>
      <c r="B42" s="58" t="s">
        <v>656</v>
      </c>
      <c r="C42" s="49" t="str">
        <f t="shared" si="0"/>
        <v>Fornecimento de Materiais e Equipamentos (aquisição direta)-L</v>
      </c>
      <c r="E42" s="54" t="s">
        <v>691</v>
      </c>
      <c r="F42" s="54" t="s">
        <v>691</v>
      </c>
      <c r="G42" s="54" t="s">
        <v>691</v>
      </c>
      <c r="I42" t="s">
        <v>538</v>
      </c>
      <c r="J42" s="49" t="s">
        <v>692</v>
      </c>
    </row>
    <row r="43" spans="1:19" ht="99.95" customHeight="1" x14ac:dyDescent="0.2">
      <c r="A43" s="49" t="s">
        <v>690</v>
      </c>
      <c r="B43" s="58" t="s">
        <v>658</v>
      </c>
      <c r="C43" s="49" t="str">
        <f t="shared" si="0"/>
        <v>Fornecimento de Materiais e Equipamentos (aquisição direta)-BDI PAD</v>
      </c>
      <c r="E43" s="54" t="s">
        <v>691</v>
      </c>
      <c r="F43" s="54" t="s">
        <v>691</v>
      </c>
      <c r="G43" s="54" t="s">
        <v>691</v>
      </c>
      <c r="I43" t="s">
        <v>538</v>
      </c>
      <c r="J43" s="669" t="s">
        <v>959</v>
      </c>
      <c r="K43" s="669"/>
      <c r="L43" s="669"/>
      <c r="M43" s="669"/>
      <c r="N43" s="669"/>
      <c r="O43" s="669"/>
      <c r="P43" s="669"/>
      <c r="Q43" s="669"/>
      <c r="R43" s="669"/>
      <c r="S43" s="669"/>
    </row>
    <row r="44" spans="1:19" x14ac:dyDescent="0.2">
      <c r="A44" s="49" t="s">
        <v>693</v>
      </c>
      <c r="B44" s="53" t="s">
        <v>694</v>
      </c>
      <c r="C44" s="49" t="str">
        <f t="shared" si="0"/>
        <v>Estudos e Projetos, Planos e Gerenciamento e outros correlatos-K1</v>
      </c>
      <c r="E44" s="54" t="s">
        <v>691</v>
      </c>
      <c r="F44" s="54" t="s">
        <v>691</v>
      </c>
      <c r="G44" s="54" t="s">
        <v>691</v>
      </c>
      <c r="I44" t="s">
        <v>538</v>
      </c>
    </row>
    <row r="45" spans="1:19" x14ac:dyDescent="0.2">
      <c r="A45" s="49" t="str">
        <f>A44</f>
        <v>Estudos e Projetos, Planos e Gerenciamento e outros correlatos</v>
      </c>
      <c r="B45" s="53" t="s">
        <v>695</v>
      </c>
      <c r="C45" s="49" t="str">
        <f t="shared" si="0"/>
        <v>Estudos e Projetos, Planos e Gerenciamento e outros correlatos-K2</v>
      </c>
      <c r="E45" s="54" t="s">
        <v>691</v>
      </c>
      <c r="F45" s="54">
        <v>0.2</v>
      </c>
      <c r="G45" s="54" t="s">
        <v>691</v>
      </c>
      <c r="I45" t="s">
        <v>538</v>
      </c>
      <c r="J45" s="670" t="str">
        <f>Import.Município</f>
        <v>CAÇAPAVA DO SUL/RS</v>
      </c>
      <c r="K45" s="670"/>
      <c r="L45" s="670"/>
      <c r="M45" s="670"/>
      <c r="P45" s="671">
        <f>DADOS!$C$25</f>
        <v>45803</v>
      </c>
      <c r="Q45" s="671"/>
      <c r="R45" s="671"/>
      <c r="S45" s="671"/>
    </row>
    <row r="46" spans="1:19" x14ac:dyDescent="0.2">
      <c r="A46" s="49" t="str">
        <f>A45</f>
        <v>Estudos e Projetos, Planos e Gerenciamento e outros correlatos</v>
      </c>
      <c r="B46" s="53"/>
      <c r="C46" s="49" t="str">
        <f t="shared" si="0"/>
        <v>Estudos e Projetos, Planos e Gerenciamento e outros correlatos-</v>
      </c>
      <c r="E46" s="54" t="s">
        <v>691</v>
      </c>
      <c r="F46" s="54" t="s">
        <v>691</v>
      </c>
      <c r="G46" s="54" t="s">
        <v>691</v>
      </c>
      <c r="I46" t="s">
        <v>538</v>
      </c>
      <c r="J46" s="672" t="s">
        <v>696</v>
      </c>
      <c r="K46" s="672"/>
      <c r="L46" s="672"/>
      <c r="M46" s="672"/>
      <c r="O46" s="73"/>
      <c r="P46" s="74" t="s">
        <v>697</v>
      </c>
      <c r="Q46" s="75"/>
      <c r="R46" s="75"/>
      <c r="S46" s="75"/>
    </row>
    <row r="47" spans="1:19" ht="30" customHeight="1" x14ac:dyDescent="0.2">
      <c r="A47" s="49" t="str">
        <f>A46</f>
        <v>Estudos e Projetos, Planos e Gerenciamento e outros correlatos</v>
      </c>
      <c r="B47" s="53"/>
      <c r="C47" s="49" t="str">
        <f t="shared" si="0"/>
        <v>Estudos e Projetos, Planos e Gerenciamento e outros correlatos-</v>
      </c>
      <c r="E47" s="54" t="s">
        <v>691</v>
      </c>
      <c r="F47" s="54" t="s">
        <v>691</v>
      </c>
      <c r="G47" s="54" t="s">
        <v>691</v>
      </c>
      <c r="I47" t="s">
        <v>538</v>
      </c>
    </row>
    <row r="48" spans="1:19" ht="15" x14ac:dyDescent="0.2">
      <c r="A48" s="49" t="str">
        <f>A47</f>
        <v>Estudos e Projetos, Planos e Gerenciamento e outros correlatos</v>
      </c>
      <c r="B48" s="53" t="s">
        <v>698</v>
      </c>
      <c r="C48" s="49" t="str">
        <f t="shared" si="0"/>
        <v>Estudos e Projetos, Planos e Gerenciamento e outros correlatos-K3</v>
      </c>
      <c r="E48" s="54" t="s">
        <v>691</v>
      </c>
      <c r="F48" s="54">
        <v>0.12</v>
      </c>
      <c r="G48" s="54" t="s">
        <v>691</v>
      </c>
      <c r="I48" t="s">
        <v>538</v>
      </c>
      <c r="J48" s="673"/>
      <c r="K48" s="673"/>
      <c r="L48" s="673"/>
      <c r="M48" s="673"/>
      <c r="N48" s="76"/>
    </row>
    <row r="49" spans="1:26" ht="12.75" customHeight="1" x14ac:dyDescent="0.2">
      <c r="A49" s="49" t="str">
        <f>A48</f>
        <v>Estudos e Projetos, Planos e Gerenciamento e outros correlatos</v>
      </c>
      <c r="B49" s="58" t="s">
        <v>658</v>
      </c>
      <c r="C49" s="49" t="str">
        <f t="shared" si="0"/>
        <v>Estudos e Projetos, Planos e Gerenciamento e outros correlatos-BDI PAD</v>
      </c>
      <c r="E49" s="54" t="s">
        <v>691</v>
      </c>
      <c r="F49" s="54" t="s">
        <v>691</v>
      </c>
      <c r="G49" s="54" t="s">
        <v>691</v>
      </c>
      <c r="I49" t="s">
        <v>538</v>
      </c>
      <c r="J49" s="667" t="s">
        <v>699</v>
      </c>
      <c r="K49" s="667"/>
      <c r="L49" s="667"/>
      <c r="M49" s="667"/>
    </row>
    <row r="50" spans="1:26" ht="14.25" x14ac:dyDescent="0.2">
      <c r="B50" s="58"/>
      <c r="E50" s="54"/>
      <c r="F50" s="54"/>
      <c r="G50" s="54"/>
      <c r="I50" t="s">
        <v>538</v>
      </c>
      <c r="J50" s="77" t="s">
        <v>241</v>
      </c>
      <c r="K50" s="78" t="str">
        <f t="array" ref="K50:K52">Import.RespOrçamento</f>
        <v>HELMESONA DE O. SANTANA</v>
      </c>
      <c r="L50" s="79"/>
      <c r="M50" s="79"/>
      <c r="N50" s="76"/>
    </row>
    <row r="51" spans="1:26" ht="14.25" x14ac:dyDescent="0.2">
      <c r="A51"/>
      <c r="B51"/>
      <c r="C51"/>
      <c r="D51"/>
      <c r="E51"/>
      <c r="F51"/>
      <c r="G51"/>
      <c r="I51" t="s">
        <v>538</v>
      </c>
      <c r="J51" s="77" t="s">
        <v>244</v>
      </c>
      <c r="K51" s="78" t="str">
        <v>CREA RS152843</v>
      </c>
      <c r="L51" s="79"/>
      <c r="M51" s="79"/>
      <c r="N51" s="76"/>
    </row>
    <row r="52" spans="1:26" ht="14.25" x14ac:dyDescent="0.2">
      <c r="A52"/>
      <c r="B52"/>
      <c r="C52"/>
      <c r="D52"/>
      <c r="E52"/>
      <c r="F52"/>
      <c r="G52"/>
      <c r="I52" t="s">
        <v>538</v>
      </c>
      <c r="J52" s="77" t="s">
        <v>247</v>
      </c>
      <c r="K52" s="78" t="str">
        <v>ART 8809670</v>
      </c>
      <c r="L52" s="79"/>
      <c r="M52" s="79"/>
      <c r="N52" s="76"/>
    </row>
    <row r="53" spans="1:26" ht="14.25" x14ac:dyDescent="0.2">
      <c r="A53"/>
      <c r="B53"/>
      <c r="C53"/>
      <c r="D53"/>
      <c r="E53"/>
      <c r="F53"/>
      <c r="G53"/>
      <c r="I53" t="s">
        <v>538</v>
      </c>
      <c r="J53" s="77"/>
      <c r="K53" s="80"/>
      <c r="L53" s="79"/>
      <c r="M53" s="79"/>
      <c r="N53" s="76"/>
    </row>
    <row r="54" spans="1:26" ht="15.75" x14ac:dyDescent="0.25">
      <c r="A54"/>
      <c r="B54"/>
      <c r="C54"/>
      <c r="D54"/>
      <c r="E54"/>
      <c r="F54"/>
      <c r="G54"/>
      <c r="I54" t="str">
        <f ca="1">IF($S$69=0,"","F")</f>
        <v/>
      </c>
      <c r="J54" s="691" t="s">
        <v>700</v>
      </c>
      <c r="K54" s="691"/>
      <c r="L54" s="691"/>
      <c r="M54" s="691"/>
      <c r="N54" s="691"/>
      <c r="O54" s="691"/>
      <c r="P54" s="691"/>
      <c r="Q54" s="691"/>
      <c r="R54" s="691"/>
      <c r="S54" s="691"/>
      <c r="U54" s="522" t="str">
        <f>IF(COUNTIF(ORÇAMENTO!$V$15:$V$27,BDI_2.Título)=0,"",IF(OR(Import.BDI.Tipo2="(SELECIONAR)",Import.BDI.Tipo2="",U57&lt;&gt;"",S61=0,S62=0,S63=0,S64=0,S65=0,S66=0),"Falta preencher o BDI 2",""))</f>
        <v/>
      </c>
    </row>
    <row r="55" spans="1:26" x14ac:dyDescent="0.2">
      <c r="A55"/>
      <c r="B55"/>
      <c r="C55"/>
      <c r="D55"/>
      <c r="E55"/>
      <c r="F55"/>
      <c r="G55"/>
      <c r="I55" t="str">
        <f t="shared" ref="I55:I93" ca="1" si="3">IF($S$69=0,"","F")</f>
        <v/>
      </c>
    </row>
    <row r="56" spans="1:26" x14ac:dyDescent="0.2">
      <c r="A56"/>
      <c r="B56"/>
      <c r="C56"/>
      <c r="D56"/>
      <c r="E56"/>
      <c r="F56"/>
      <c r="G56"/>
      <c r="I56" t="str">
        <f t="shared" ca="1" si="3"/>
        <v/>
      </c>
      <c r="J56" s="689" t="s">
        <v>666</v>
      </c>
      <c r="K56" s="689"/>
      <c r="L56" s="689"/>
      <c r="M56" s="689"/>
      <c r="N56" s="689"/>
      <c r="O56" s="689"/>
      <c r="P56" s="689"/>
      <c r="Q56" s="689"/>
      <c r="R56" s="689"/>
      <c r="S56" s="689"/>
    </row>
    <row r="57" spans="1:26" ht="15" x14ac:dyDescent="0.25">
      <c r="A57"/>
      <c r="B57"/>
      <c r="C57"/>
      <c r="D57"/>
      <c r="E57"/>
      <c r="F57"/>
      <c r="G57"/>
      <c r="I57" t="str">
        <f t="shared" ca="1" si="3"/>
        <v/>
      </c>
      <c r="J57" s="690" t="s">
        <v>140</v>
      </c>
      <c r="K57" s="690"/>
      <c r="L57" s="690"/>
      <c r="M57" s="690"/>
      <c r="N57" s="690"/>
      <c r="O57" s="690"/>
      <c r="P57" s="690"/>
      <c r="Q57" s="690"/>
      <c r="R57" s="690"/>
      <c r="S57" s="690"/>
      <c r="T57" s="569" t="str">
        <f ca="1">IF(U57="","","◄")</f>
        <v/>
      </c>
      <c r="U57" s="568" t="str">
        <f ca="1">IF(AND(OR(S69&gt;0,COUNTIF(ORÇAMENTO!$V$15:$V$27,BDI_2.Título)&gt;0),OR(Import.BDI.Tipo2="(SELECIONAR)",Import.BDI.Tipo2="")),"Selecione o Tipo de obra","")</f>
        <v/>
      </c>
    </row>
    <row r="58" spans="1:26" x14ac:dyDescent="0.2">
      <c r="A58"/>
      <c r="B58"/>
      <c r="C58"/>
      <c r="D58"/>
      <c r="E58"/>
      <c r="F58"/>
      <c r="G58"/>
      <c r="I58" t="str">
        <f t="shared" ca="1" si="3"/>
        <v/>
      </c>
    </row>
    <row r="59" spans="1:26" ht="12.75" customHeight="1" x14ac:dyDescent="0.2">
      <c r="A59"/>
      <c r="B59"/>
      <c r="C59"/>
      <c r="D59"/>
      <c r="E59"/>
      <c r="F59"/>
      <c r="G59"/>
      <c r="I59" t="str">
        <f t="shared" ca="1" si="3"/>
        <v/>
      </c>
      <c r="J59" s="688" t="s">
        <v>668</v>
      </c>
      <c r="K59" s="688"/>
      <c r="L59" s="688"/>
      <c r="M59" s="688"/>
      <c r="N59" s="688"/>
      <c r="O59" s="688"/>
      <c r="P59" s="688"/>
      <c r="Q59" s="688"/>
      <c r="R59" s="688" t="s">
        <v>669</v>
      </c>
      <c r="S59" s="679" t="s">
        <v>670</v>
      </c>
      <c r="U59" s="679" t="s">
        <v>671</v>
      </c>
      <c r="V59" s="679"/>
      <c r="W59" s="679"/>
      <c r="X59" s="687" t="s">
        <v>672</v>
      </c>
      <c r="Y59" s="687" t="s">
        <v>673</v>
      </c>
      <c r="Z59" s="687" t="s">
        <v>674</v>
      </c>
    </row>
    <row r="60" spans="1:26" ht="12.75" customHeight="1" x14ac:dyDescent="0.2">
      <c r="A60"/>
      <c r="B60"/>
      <c r="C60"/>
      <c r="D60"/>
      <c r="E60"/>
      <c r="F60"/>
      <c r="G60"/>
      <c r="I60" t="str">
        <f t="shared" ca="1" si="3"/>
        <v/>
      </c>
      <c r="J60" s="688"/>
      <c r="K60" s="688"/>
      <c r="L60" s="688"/>
      <c r="M60" s="688"/>
      <c r="N60" s="688"/>
      <c r="O60" s="688"/>
      <c r="P60" s="688"/>
      <c r="Q60" s="688"/>
      <c r="R60" s="688"/>
      <c r="S60" s="679"/>
      <c r="U60" s="679"/>
      <c r="V60" s="679"/>
      <c r="W60" s="679"/>
      <c r="X60" s="687"/>
      <c r="Y60" s="687"/>
      <c r="Z60" s="687"/>
    </row>
    <row r="61" spans="1:26" ht="15" customHeight="1" x14ac:dyDescent="0.2">
      <c r="A61"/>
      <c r="B61"/>
      <c r="C61"/>
      <c r="D61"/>
      <c r="E61"/>
      <c r="F61"/>
      <c r="G61"/>
      <c r="I61" t="str">
        <f t="shared" ca="1" si="3"/>
        <v/>
      </c>
      <c r="J61" s="675" t="str">
        <f>IF($J$17=$A$146,"Encargos Sociais incidentes sobre a mão de obra","Administração Central")</f>
        <v>Administração Central</v>
      </c>
      <c r="K61" s="675"/>
      <c r="L61" s="675"/>
      <c r="M61" s="675"/>
      <c r="N61" s="675"/>
      <c r="O61" s="675"/>
      <c r="P61" s="675"/>
      <c r="Q61" s="675"/>
      <c r="R61" s="60" t="str">
        <f>IF($J57=$A$146,"K1","AC")</f>
        <v>AC</v>
      </c>
      <c r="S61" s="61"/>
      <c r="T61" s="578" t="str">
        <f ca="1">IF(AND($U$14&lt;&gt;"",S61=""),"◄","")</f>
        <v/>
      </c>
      <c r="U61" s="676" t="str">
        <f>IFERROR(IF(AND(S61&gt;=X61,S61&lt;=Z61),"OK","FORA DO INTERVALO"),"-")</f>
        <v>-</v>
      </c>
      <c r="V61" s="677"/>
      <c r="W61" s="678"/>
      <c r="X61" s="62" t="e">
        <f>VLOOKUP(CONCATENATE(J57,"-",R61),$C$2:$G$136,3,FALSE)</f>
        <v>#N/A</v>
      </c>
      <c r="Y61" s="62" t="e">
        <f>VLOOKUP(CONCATENATE(J57,"-",R61),$C$2:$G$136,4,FALSE)</f>
        <v>#N/A</v>
      </c>
      <c r="Z61" s="62" t="e">
        <f>VLOOKUP(CONCATENATE(J57,"-",R61),$C$2:$G$136,5,FALSE)</f>
        <v>#N/A</v>
      </c>
    </row>
    <row r="62" spans="1:26" ht="15" customHeight="1" x14ac:dyDescent="0.2">
      <c r="A62"/>
      <c r="B62"/>
      <c r="C62"/>
      <c r="D62"/>
      <c r="E62"/>
      <c r="F62"/>
      <c r="G62"/>
      <c r="I62" t="str">
        <f t="shared" ca="1" si="3"/>
        <v/>
      </c>
      <c r="J62" s="675" t="str">
        <f>IF($J$17=$A$146,"Administração Central da empresa ou consultoria - overhead","Seguro e Garantia")</f>
        <v>Seguro e Garantia</v>
      </c>
      <c r="K62" s="675"/>
      <c r="L62" s="675"/>
      <c r="M62" s="675"/>
      <c r="N62" s="675"/>
      <c r="O62" s="675"/>
      <c r="P62" s="675"/>
      <c r="Q62" s="675"/>
      <c r="R62" s="60" t="str">
        <f>IF($J57=$A$146,"K2","SG")</f>
        <v>SG</v>
      </c>
      <c r="S62" s="61"/>
      <c r="T62" s="578" t="str">
        <f t="shared" ref="T62:T66" ca="1" si="4">IF(AND($U$14&lt;&gt;"",S62=""),"◄","")</f>
        <v/>
      </c>
      <c r="U62" s="676" t="str">
        <f t="shared" ref="U62:U67" si="5">IFERROR(IF(AND(S62&gt;=X62,S62&lt;=Z62),"OK","FORA DO INTERVALO"),"-")</f>
        <v>-</v>
      </c>
      <c r="V62" s="677"/>
      <c r="W62" s="678"/>
      <c r="X62" s="62" t="e">
        <f>VLOOKUP(CONCATENATE(J57,"-",R62),$C$2:$G$136,3,FALSE)</f>
        <v>#N/A</v>
      </c>
      <c r="Y62" s="62" t="e">
        <f>VLOOKUP(CONCATENATE(J57,"-",R62),$C$2:$G$136,4,FALSE)</f>
        <v>#N/A</v>
      </c>
      <c r="Z62" s="62" t="e">
        <f>VLOOKUP(CONCATENATE(J57,"-",R62),$C$2:$G$136,5,FALSE)</f>
        <v>#N/A</v>
      </c>
    </row>
    <row r="63" spans="1:26" ht="15" customHeight="1" x14ac:dyDescent="0.2">
      <c r="A63"/>
      <c r="B63"/>
      <c r="C63"/>
      <c r="D63"/>
      <c r="E63"/>
      <c r="F63"/>
      <c r="G63"/>
      <c r="I63" t="str">
        <f t="shared" ca="1" si="3"/>
        <v/>
      </c>
      <c r="J63" s="675" t="str">
        <f>IF($J$17=$A$146,"","Risco")</f>
        <v>Risco</v>
      </c>
      <c r="K63" s="675"/>
      <c r="L63" s="675"/>
      <c r="M63" s="675"/>
      <c r="N63" s="675"/>
      <c r="O63" s="675"/>
      <c r="P63" s="675"/>
      <c r="Q63" s="675"/>
      <c r="R63" s="60" t="str">
        <f>IF($J57=$A$146,"","R")</f>
        <v>R</v>
      </c>
      <c r="S63" s="61"/>
      <c r="T63" s="578" t="str">
        <f t="shared" ca="1" si="4"/>
        <v/>
      </c>
      <c r="U63" s="676" t="str">
        <f t="shared" si="5"/>
        <v>-</v>
      </c>
      <c r="V63" s="677"/>
      <c r="W63" s="678"/>
      <c r="X63" s="62" t="e">
        <f>VLOOKUP(CONCATENATE(J57,"-",R63),$C$2:$G$136,3,FALSE)</f>
        <v>#N/A</v>
      </c>
      <c r="Y63" s="62" t="e">
        <f>VLOOKUP(CONCATENATE(J57,"-",R63),$C$2:$G$136,4,FALSE)</f>
        <v>#N/A</v>
      </c>
      <c r="Z63" s="62" t="e">
        <f>VLOOKUP(CONCATENATE(J57,"-",R63),$C$2:$G$136,5,FALSE)</f>
        <v>#N/A</v>
      </c>
    </row>
    <row r="64" spans="1:26" ht="15" customHeight="1" x14ac:dyDescent="0.2">
      <c r="A64"/>
      <c r="B64"/>
      <c r="C64"/>
      <c r="D64"/>
      <c r="E64"/>
      <c r="F64"/>
      <c r="G64"/>
      <c r="I64" t="str">
        <f t="shared" ca="1" si="3"/>
        <v/>
      </c>
      <c r="J64" s="675" t="str">
        <f>IF($J$17=$A$146,"","Despesas Financeiras")</f>
        <v>Despesas Financeiras</v>
      </c>
      <c r="K64" s="675"/>
      <c r="L64" s="675"/>
      <c r="M64" s="675"/>
      <c r="N64" s="675"/>
      <c r="O64" s="675"/>
      <c r="P64" s="675"/>
      <c r="Q64" s="675"/>
      <c r="R64" s="60" t="str">
        <f>IF($J57=$A$146,"","DF")</f>
        <v>DF</v>
      </c>
      <c r="S64" s="61"/>
      <c r="T64" s="578" t="str">
        <f t="shared" ca="1" si="4"/>
        <v/>
      </c>
      <c r="U64" s="676" t="str">
        <f t="shared" si="5"/>
        <v>-</v>
      </c>
      <c r="V64" s="677"/>
      <c r="W64" s="678"/>
      <c r="X64" s="62" t="e">
        <f>VLOOKUP(CONCATENATE(J57,"-",R64),$C$2:$G$136,3,FALSE)</f>
        <v>#N/A</v>
      </c>
      <c r="Y64" s="62" t="e">
        <f>VLOOKUP(CONCATENATE(J57,"-",R64),$C$2:$G$136,4,FALSE)</f>
        <v>#N/A</v>
      </c>
      <c r="Z64" s="62" t="e">
        <f>VLOOKUP(CONCATENATE(J57,"-",R64),$C$2:$G$136,5,FALSE)</f>
        <v>#N/A</v>
      </c>
    </row>
    <row r="65" spans="1:26" ht="15" customHeight="1" x14ac:dyDescent="0.2">
      <c r="A65"/>
      <c r="B65"/>
      <c r="C65"/>
      <c r="D65"/>
      <c r="E65"/>
      <c r="F65"/>
      <c r="G65"/>
      <c r="I65" t="str">
        <f t="shared" ca="1" si="3"/>
        <v/>
      </c>
      <c r="J65" s="675" t="str">
        <f>IF($J$17=$A$146,"Margem bruta da empresa de consultoria","Lucro")</f>
        <v>Lucro</v>
      </c>
      <c r="K65" s="675"/>
      <c r="L65" s="675"/>
      <c r="M65" s="675"/>
      <c r="N65" s="675"/>
      <c r="O65" s="675"/>
      <c r="P65" s="675"/>
      <c r="Q65" s="675"/>
      <c r="R65" s="60" t="str">
        <f>IF($J57=$A$146,"K3","L")</f>
        <v>L</v>
      </c>
      <c r="S65" s="61"/>
      <c r="T65" s="578" t="str">
        <f t="shared" ca="1" si="4"/>
        <v/>
      </c>
      <c r="U65" s="676" t="str">
        <f t="shared" si="5"/>
        <v>-</v>
      </c>
      <c r="V65" s="677"/>
      <c r="W65" s="678"/>
      <c r="X65" s="62" t="e">
        <f>VLOOKUP(CONCATENATE(J57,"-",R65),$C$2:$G$136,3,FALSE)</f>
        <v>#N/A</v>
      </c>
      <c r="Y65" s="62" t="e">
        <f>VLOOKUP(CONCATENATE(J57,"-",R65),$C$2:$G$136,4,FALSE)</f>
        <v>#N/A</v>
      </c>
      <c r="Z65" s="62" t="e">
        <f>VLOOKUP(CONCATENATE(J57,"-",R65),$C$2:$G$136,5,FALSE)</f>
        <v>#N/A</v>
      </c>
    </row>
    <row r="66" spans="1:26" ht="15" customHeight="1" x14ac:dyDescent="0.2">
      <c r="A66"/>
      <c r="B66"/>
      <c r="C66"/>
      <c r="D66"/>
      <c r="E66"/>
      <c r="F66"/>
      <c r="G66"/>
      <c r="I66" t="str">
        <f t="shared" ca="1" si="3"/>
        <v/>
      </c>
      <c r="J66" s="675" t="s">
        <v>677</v>
      </c>
      <c r="K66" s="675"/>
      <c r="L66" s="675"/>
      <c r="M66" s="675"/>
      <c r="N66" s="675"/>
      <c r="O66" s="675"/>
      <c r="P66" s="675"/>
      <c r="Q66" s="675"/>
      <c r="R66" s="60" t="s">
        <v>458</v>
      </c>
      <c r="S66" s="61"/>
      <c r="T66" s="578" t="str">
        <f t="shared" ca="1" si="4"/>
        <v/>
      </c>
      <c r="U66" s="676" t="str">
        <f t="shared" si="5"/>
        <v>FORA DO INTERVALO</v>
      </c>
      <c r="V66" s="677"/>
      <c r="W66" s="678"/>
      <c r="X66" s="62">
        <v>3.6499999999999998E-2</v>
      </c>
      <c r="Y66" s="62">
        <v>3.6499999999999998E-2</v>
      </c>
      <c r="Z66" s="62">
        <v>3.6499999999999998E-2</v>
      </c>
    </row>
    <row r="67" spans="1:26" ht="15" customHeight="1" x14ac:dyDescent="0.2">
      <c r="A67"/>
      <c r="B67"/>
      <c r="C67"/>
      <c r="D67"/>
      <c r="E67"/>
      <c r="F67"/>
      <c r="G67"/>
      <c r="I67" t="str">
        <f t="shared" ca="1" si="3"/>
        <v/>
      </c>
      <c r="J67" s="675" t="s">
        <v>678</v>
      </c>
      <c r="K67" s="675"/>
      <c r="L67" s="675"/>
      <c r="M67" s="675"/>
      <c r="N67" s="675"/>
      <c r="O67" s="675"/>
      <c r="P67" s="675"/>
      <c r="Q67" s="675"/>
      <c r="R67" s="60" t="s">
        <v>679</v>
      </c>
      <c r="S67" s="62">
        <f ca="1">IF(AND($J57&lt;&gt;$A$145,COUNTA(OFFSET(S60,1,0,6))&gt;0),$R$11*$R$10,0)</f>
        <v>0</v>
      </c>
      <c r="U67" s="676" t="str">
        <f t="shared" ca="1" si="5"/>
        <v>OK</v>
      </c>
      <c r="V67" s="677"/>
      <c r="W67" s="678"/>
      <c r="X67" s="62">
        <v>0</v>
      </c>
      <c r="Y67" s="62">
        <v>2.5000000000000001E-2</v>
      </c>
      <c r="Z67" s="62">
        <v>0.05</v>
      </c>
    </row>
    <row r="68" spans="1:26" ht="15" customHeight="1" x14ac:dyDescent="0.2">
      <c r="A68"/>
      <c r="B68"/>
      <c r="C68"/>
      <c r="D68"/>
      <c r="E68"/>
      <c r="F68"/>
      <c r="G68"/>
      <c r="I68" t="str">
        <f t="shared" ca="1" si="3"/>
        <v/>
      </c>
      <c r="J68" s="675" t="s">
        <v>680</v>
      </c>
      <c r="K68" s="675"/>
      <c r="L68" s="675"/>
      <c r="M68" s="675"/>
      <c r="N68" s="675"/>
      <c r="O68" s="675"/>
      <c r="P68" s="675"/>
      <c r="Q68" s="675"/>
      <c r="R68" s="60" t="s">
        <v>681</v>
      </c>
      <c r="S68" s="62" cm="1">
        <f t="array" aca="1" ref="S68" ca="1">IF(BDI.Opcao&lt;&gt;"Desonerado",0,IF(AND($J57&lt;&gt;$A$145,COUNTA(OFFSET(S60,1,0,6))&gt;0),IF(YEAR(Import.DataBase)&lt;2025,4.5%,IF(YEAR(Import.DataBase)=2025,3.6%,IF(YEAR(Import.DataBase)=2026,2.7%,IF(YEAR(Import.DataBase)=2027,1.8%,0%)))),0%))</f>
        <v>0</v>
      </c>
      <c r="U68" s="676" t="s">
        <v>682</v>
      </c>
      <c r="V68" s="677"/>
      <c r="W68" s="678"/>
      <c r="X68" s="63">
        <f ca="1">$S68</f>
        <v>0</v>
      </c>
      <c r="Y68" s="63">
        <f ca="1">$S68</f>
        <v>0</v>
      </c>
      <c r="Z68" s="63">
        <f ca="1">$S68</f>
        <v>0</v>
      </c>
    </row>
    <row r="69" spans="1:26" ht="15" customHeight="1" x14ac:dyDescent="0.2">
      <c r="A69"/>
      <c r="B69"/>
      <c r="C69"/>
      <c r="D69"/>
      <c r="E69"/>
      <c r="F69"/>
      <c r="G69"/>
      <c r="I69" t="str">
        <f t="shared" ca="1" si="3"/>
        <v/>
      </c>
      <c r="J69" s="675" t="s">
        <v>683</v>
      </c>
      <c r="K69" s="675"/>
      <c r="L69" s="675"/>
      <c r="M69" s="675"/>
      <c r="N69" s="675"/>
      <c r="O69" s="675"/>
      <c r="P69" s="675"/>
      <c r="Q69" s="675"/>
      <c r="R69" s="64" t="s">
        <v>658</v>
      </c>
      <c r="S69" s="62">
        <f ca="1">IF($J57=$A$145,0,ROUND((((1+S61+S62+S63)*(1+S64)*(1+S65)/(1-(S66+S67)))-1),4))</f>
        <v>0</v>
      </c>
      <c r="U69" s="679" t="str">
        <f ca="1">IFERROR(IF(OR($J$17=$A$146,$J$17=$A$145,AND(S69&gt;=X69,S69&lt;=Z69)),"OK","FORA DO INTERVALO"),IF(S69=0,"OK","Selecione o Tipo de obra"))</f>
        <v>OK</v>
      </c>
      <c r="V69" s="679"/>
      <c r="W69" s="679"/>
      <c r="X69" s="62" t="e">
        <f>IF($J57=$A$145,0,VLOOKUP(CONCATENATE($J57,"-",$R69),$C$2:$G$136,3,FALSE))</f>
        <v>#N/A</v>
      </c>
      <c r="Y69" s="62" t="e">
        <f>IF($J57=$A$145,0,VLOOKUP(CONCATENATE($J57,"-",$R69),$C$2:$G$136,4,FALSE))</f>
        <v>#N/A</v>
      </c>
      <c r="Z69" s="62" t="e">
        <f>IF($J57=$A$145,0,VLOOKUP(CONCATENATE($J57,"-",$R69),$C$2:$G$136,5,FALSE))</f>
        <v>#N/A</v>
      </c>
    </row>
    <row r="70" spans="1:26" ht="15" customHeight="1" x14ac:dyDescent="0.2">
      <c r="A70"/>
      <c r="B70"/>
      <c r="C70"/>
      <c r="D70"/>
      <c r="E70"/>
      <c r="F70"/>
      <c r="G70"/>
      <c r="I70" t="str">
        <f t="shared" ca="1" si="3"/>
        <v/>
      </c>
      <c r="J70" s="680" t="s">
        <v>684</v>
      </c>
      <c r="K70" s="680"/>
      <c r="L70" s="680"/>
      <c r="M70" s="680"/>
      <c r="N70" s="680"/>
      <c r="O70" s="680"/>
      <c r="P70" s="680"/>
      <c r="Q70" s="680"/>
      <c r="R70" s="65" t="s">
        <v>685</v>
      </c>
      <c r="S70" s="66">
        <f ca="1">IF($J57=$A$145,0,ROUND((((1+S61+S62+S63)*(1+S64)*(1+S65)/(1-(S66+S67+S68)))-1),4))</f>
        <v>0</v>
      </c>
    </row>
    <row r="71" spans="1:26" ht="15" customHeight="1" x14ac:dyDescent="0.2">
      <c r="A71"/>
      <c r="B71"/>
      <c r="C71"/>
      <c r="D71"/>
      <c r="E71"/>
      <c r="F71"/>
      <c r="G71"/>
      <c r="I71" t="str">
        <f t="shared" ca="1" si="3"/>
        <v/>
      </c>
    </row>
    <row r="72" spans="1:26" ht="15.75" x14ac:dyDescent="0.2">
      <c r="A72"/>
      <c r="B72"/>
      <c r="C72"/>
      <c r="D72"/>
      <c r="E72"/>
      <c r="F72"/>
      <c r="G72"/>
      <c r="I72" t="str">
        <f t="shared" ca="1" si="3"/>
        <v/>
      </c>
      <c r="J72" s="67" t="str">
        <f ca="1">IF(U69&lt;&gt;"ok","X","")</f>
        <v/>
      </c>
      <c r="K72" s="681" t="str">
        <f ca="1">IF(U69&lt;&gt;"ok","Anexo: Relatório Técnico Circunstanciado justificando a adoção do percentual de cada parcela do BDI.","")</f>
        <v/>
      </c>
      <c r="L72" s="681"/>
      <c r="M72" s="681"/>
      <c r="N72" s="681"/>
      <c r="O72" s="681"/>
      <c r="P72" s="681"/>
      <c r="Q72" s="681"/>
      <c r="R72" s="681"/>
      <c r="S72" s="681"/>
    </row>
    <row r="73" spans="1:26" x14ac:dyDescent="0.2">
      <c r="A73"/>
      <c r="B73"/>
      <c r="C73"/>
      <c r="D73"/>
      <c r="E73"/>
      <c r="F73"/>
      <c r="G73"/>
      <c r="I73" t="str">
        <f t="shared" ca="1" si="3"/>
        <v/>
      </c>
    </row>
    <row r="74" spans="1:26" x14ac:dyDescent="0.2">
      <c r="A74"/>
      <c r="B74"/>
      <c r="C74"/>
      <c r="D74"/>
      <c r="E74"/>
      <c r="F74"/>
      <c r="G74"/>
      <c r="I74" t="str">
        <f t="shared" ca="1" si="3"/>
        <v/>
      </c>
      <c r="J74" s="683" t="s">
        <v>686</v>
      </c>
      <c r="K74" s="683"/>
      <c r="L74" s="683"/>
      <c r="M74" s="683"/>
      <c r="N74" s="683"/>
      <c r="O74" s="683"/>
      <c r="P74" s="683"/>
      <c r="Q74" s="683"/>
      <c r="R74" s="683"/>
      <c r="S74" s="683"/>
    </row>
    <row r="75" spans="1:26" ht="15.75" x14ac:dyDescent="0.25">
      <c r="A75"/>
      <c r="B75"/>
      <c r="C75"/>
      <c r="D75"/>
      <c r="E75"/>
      <c r="F75"/>
      <c r="G75"/>
      <c r="I75" t="str">
        <f t="shared" ca="1" si="3"/>
        <v/>
      </c>
      <c r="J75" s="68"/>
      <c r="K75" s="68"/>
      <c r="L75" s="68"/>
      <c r="M75" s="684" t="s">
        <v>687</v>
      </c>
      <c r="N75" s="685" t="str">
        <f>IF($J57=$A$146,"(1+K1+K2)*(1+K3)","(1+AC + S + R + G)*(1 + DF)*(1+L)")</f>
        <v>(1+AC + S + R + G)*(1 + DF)*(1+L)</v>
      </c>
      <c r="O75" s="685"/>
      <c r="P75" s="685"/>
      <c r="Q75" s="686" t="s">
        <v>688</v>
      </c>
      <c r="R75" s="68"/>
      <c r="S75" s="68"/>
    </row>
    <row r="76" spans="1:26" ht="15.75" x14ac:dyDescent="0.2">
      <c r="A76"/>
      <c r="B76"/>
      <c r="C76"/>
      <c r="D76"/>
      <c r="E76"/>
      <c r="F76"/>
      <c r="G76"/>
      <c r="I76" t="str">
        <f t="shared" ca="1" si="3"/>
        <v/>
      </c>
      <c r="J76" s="68"/>
      <c r="K76" s="68"/>
      <c r="L76" s="68"/>
      <c r="M76" s="684"/>
      <c r="N76" s="674" t="s">
        <v>689</v>
      </c>
      <c r="O76" s="674"/>
      <c r="P76" s="674"/>
      <c r="Q76" s="686"/>
      <c r="R76" s="68"/>
      <c r="S76" s="68"/>
    </row>
    <row r="77" spans="1:26" ht="15" customHeight="1" x14ac:dyDescent="0.2">
      <c r="A77"/>
      <c r="B77"/>
      <c r="C77"/>
      <c r="D77"/>
      <c r="E77"/>
      <c r="F77"/>
      <c r="G77"/>
      <c r="I77" t="str">
        <f t="shared" ca="1" si="3"/>
        <v/>
      </c>
      <c r="J77" s="68"/>
      <c r="K77" s="68"/>
      <c r="L77" s="68"/>
      <c r="M77" s="69"/>
      <c r="N77" s="71"/>
      <c r="O77" s="71"/>
      <c r="P77" s="71"/>
      <c r="Q77" s="70"/>
      <c r="R77" s="68"/>
      <c r="S77" s="68"/>
    </row>
    <row r="78" spans="1:26" ht="50.1" customHeight="1" x14ac:dyDescent="0.2">
      <c r="A78"/>
      <c r="B78"/>
      <c r="C78"/>
      <c r="D78"/>
      <c r="E78"/>
      <c r="F78"/>
      <c r="G78"/>
      <c r="I78" t="str">
        <f t="shared" ca="1" si="3"/>
        <v/>
      </c>
      <c r="J78" s="668" t="str">
        <f>CONCATENATE("Declaro para os devidos fins que, conforme legislação tributária municipal, a base de cálculo deste tipo de obra corresponde à ",$R$10*100,"%, com a respectiva alíquota de ",$R$11*100,"%.")</f>
        <v>Declaro para os devidos fins que, conforme legislação tributária municipal, a base de cálculo deste tipo de obra corresponde à 100%, com a respectiva alíquota de 3%.</v>
      </c>
      <c r="K78" s="668"/>
      <c r="L78" s="668"/>
      <c r="M78" s="668"/>
      <c r="N78" s="668"/>
      <c r="O78" s="668"/>
      <c r="P78" s="668"/>
      <c r="Q78" s="668"/>
      <c r="R78" s="668"/>
      <c r="S78" s="668"/>
    </row>
    <row r="79" spans="1:26" x14ac:dyDescent="0.2">
      <c r="A79"/>
      <c r="B79"/>
      <c r="C79"/>
      <c r="D79"/>
      <c r="E79"/>
      <c r="F79"/>
      <c r="G79"/>
      <c r="I79" t="str">
        <f t="shared" ca="1" si="3"/>
        <v/>
      </c>
    </row>
    <row r="80" spans="1:26" ht="50.1" customHeight="1" x14ac:dyDescent="0.2">
      <c r="A80"/>
      <c r="B80"/>
      <c r="C80"/>
      <c r="D80"/>
      <c r="E80"/>
      <c r="F80"/>
      <c r="G80"/>
      <c r="I80" t="str">
        <f t="shared" ca="1" si="3"/>
        <v/>
      </c>
      <c r="J80" s="668" t="str">
        <f ca="1">CONCATENATE("Declaro para os devidos fins que o regime de Contribuição Previdenciária sobre a Receita Bruta adotado para elaboração do orçamento foi ",IF(DESONERACAO="Sim","COM","SEM")," Desoneração, e que esta é a alternativa mais adequada para a Administração Pública.")</f>
        <v>Declaro para os devidos fins que o regime de Contribuição Previdenciária sobre a Receita Bruta adotado para elaboração do orçamento foi SEM Desoneração, e que esta é a alternativa mais adequada para a Administração Pública.</v>
      </c>
      <c r="K80" s="668"/>
      <c r="L80" s="668"/>
      <c r="M80" s="668"/>
      <c r="N80" s="668"/>
      <c r="O80" s="668"/>
      <c r="P80" s="668"/>
      <c r="Q80" s="668"/>
      <c r="R80" s="668"/>
      <c r="S80" s="668"/>
    </row>
    <row r="81" spans="1:21" x14ac:dyDescent="0.2">
      <c r="A81"/>
      <c r="B81"/>
      <c r="C81"/>
      <c r="D81"/>
      <c r="E81"/>
      <c r="F81"/>
      <c r="G81"/>
      <c r="I81" t="str">
        <f t="shared" ca="1" si="3"/>
        <v/>
      </c>
    </row>
    <row r="82" spans="1:21" x14ac:dyDescent="0.2">
      <c r="A82"/>
      <c r="B82"/>
      <c r="C82"/>
      <c r="D82"/>
      <c r="E82"/>
      <c r="F82"/>
      <c r="G82"/>
      <c r="I82" t="str">
        <f t="shared" ca="1" si="3"/>
        <v/>
      </c>
      <c r="J82" s="49" t="s">
        <v>692</v>
      </c>
    </row>
    <row r="83" spans="1:21" ht="99.95" customHeight="1" x14ac:dyDescent="0.2">
      <c r="A83"/>
      <c r="B83"/>
      <c r="C83"/>
      <c r="D83"/>
      <c r="E83"/>
      <c r="F83"/>
      <c r="G83"/>
      <c r="I83" t="str">
        <f t="shared" ca="1" si="3"/>
        <v/>
      </c>
      <c r="J83" s="669"/>
      <c r="K83" s="669"/>
      <c r="L83" s="669"/>
      <c r="M83" s="669"/>
      <c r="N83" s="669"/>
      <c r="O83" s="669"/>
      <c r="P83" s="669"/>
      <c r="Q83" s="669"/>
      <c r="R83" s="669"/>
      <c r="S83" s="669"/>
    </row>
    <row r="84" spans="1:21" x14ac:dyDescent="0.2">
      <c r="A84"/>
      <c r="B84"/>
      <c r="C84"/>
      <c r="D84"/>
      <c r="E84"/>
      <c r="F84"/>
      <c r="G84"/>
      <c r="I84" t="str">
        <f t="shared" ca="1" si="3"/>
        <v/>
      </c>
    </row>
    <row r="85" spans="1:21" x14ac:dyDescent="0.2">
      <c r="A85"/>
      <c r="B85"/>
      <c r="C85"/>
      <c r="D85"/>
      <c r="E85"/>
      <c r="F85"/>
      <c r="G85"/>
      <c r="I85" t="str">
        <f t="shared" ca="1" si="3"/>
        <v/>
      </c>
      <c r="J85" s="670" t="str">
        <f>Import.Município</f>
        <v>CAÇAPAVA DO SUL/RS</v>
      </c>
      <c r="K85" s="670"/>
      <c r="L85" s="670"/>
      <c r="M85" s="670"/>
      <c r="P85" s="671">
        <f>DADOS!$C$25</f>
        <v>45803</v>
      </c>
      <c r="Q85" s="671"/>
      <c r="R85" s="671"/>
      <c r="S85" s="671"/>
    </row>
    <row r="86" spans="1:21" x14ac:dyDescent="0.2">
      <c r="A86"/>
      <c r="B86"/>
      <c r="C86"/>
      <c r="D86"/>
      <c r="E86"/>
      <c r="F86"/>
      <c r="G86"/>
      <c r="I86" t="str">
        <f t="shared" ca="1" si="3"/>
        <v/>
      </c>
      <c r="J86" s="672" t="s">
        <v>696</v>
      </c>
      <c r="K86" s="672"/>
      <c r="L86" s="672"/>
      <c r="M86" s="672"/>
      <c r="O86" s="73"/>
      <c r="P86" s="74" t="s">
        <v>697</v>
      </c>
      <c r="Q86" s="75"/>
      <c r="R86" s="75"/>
      <c r="S86" s="75"/>
    </row>
    <row r="87" spans="1:21" ht="30" customHeight="1" x14ac:dyDescent="0.2">
      <c r="A87"/>
      <c r="B87"/>
      <c r="C87"/>
      <c r="D87"/>
      <c r="E87"/>
      <c r="F87"/>
      <c r="G87"/>
      <c r="I87" t="str">
        <f t="shared" ca="1" si="3"/>
        <v/>
      </c>
    </row>
    <row r="88" spans="1:21" ht="15" x14ac:dyDescent="0.2">
      <c r="A88"/>
      <c r="B88"/>
      <c r="C88"/>
      <c r="D88"/>
      <c r="E88"/>
      <c r="F88"/>
      <c r="G88"/>
      <c r="I88" t="str">
        <f t="shared" ca="1" si="3"/>
        <v/>
      </c>
      <c r="J88" s="673"/>
      <c r="K88" s="673"/>
      <c r="L88" s="673"/>
      <c r="M88" s="673"/>
      <c r="N88" s="76"/>
    </row>
    <row r="89" spans="1:21" x14ac:dyDescent="0.2">
      <c r="A89"/>
      <c r="B89"/>
      <c r="C89"/>
      <c r="D89"/>
      <c r="E89"/>
      <c r="F89"/>
      <c r="G89"/>
      <c r="I89" t="str">
        <f t="shared" ca="1" si="3"/>
        <v/>
      </c>
      <c r="J89" s="667" t="s">
        <v>699</v>
      </c>
      <c r="K89" s="667"/>
      <c r="L89" s="667"/>
      <c r="M89" s="667"/>
    </row>
    <row r="90" spans="1:21" ht="14.25" x14ac:dyDescent="0.2">
      <c r="A90"/>
      <c r="B90"/>
      <c r="C90"/>
      <c r="D90"/>
      <c r="E90"/>
      <c r="F90"/>
      <c r="G90"/>
      <c r="I90" t="str">
        <f t="shared" ca="1" si="3"/>
        <v/>
      </c>
      <c r="J90" s="77" t="s">
        <v>241</v>
      </c>
      <c r="K90" s="78" t="str">
        <f t="array" ref="K90:K92">Import.RespOrçamento</f>
        <v>HELMESONA DE O. SANTANA</v>
      </c>
      <c r="L90" s="79"/>
      <c r="M90" s="79"/>
      <c r="N90" s="76"/>
    </row>
    <row r="91" spans="1:21" ht="14.25" x14ac:dyDescent="0.2">
      <c r="A91"/>
      <c r="B91"/>
      <c r="C91"/>
      <c r="D91"/>
      <c r="E91"/>
      <c r="F91"/>
      <c r="G91"/>
      <c r="I91" t="str">
        <f t="shared" ca="1" si="3"/>
        <v/>
      </c>
      <c r="J91" s="77" t="s">
        <v>244</v>
      </c>
      <c r="K91" s="78" t="str">
        <v>CREA RS152843</v>
      </c>
      <c r="L91" s="79"/>
      <c r="M91" s="79"/>
      <c r="N91" s="76"/>
    </row>
    <row r="92" spans="1:21" ht="14.25" x14ac:dyDescent="0.2">
      <c r="A92"/>
      <c r="B92"/>
      <c r="C92"/>
      <c r="D92"/>
      <c r="E92"/>
      <c r="F92"/>
      <c r="G92"/>
      <c r="I92" t="str">
        <f t="shared" ca="1" si="3"/>
        <v/>
      </c>
      <c r="J92" s="77" t="s">
        <v>247</v>
      </c>
      <c r="K92" s="78" t="str">
        <v>ART 8809670</v>
      </c>
      <c r="L92" s="79"/>
      <c r="M92" s="79"/>
      <c r="N92" s="76"/>
    </row>
    <row r="93" spans="1:21" ht="14.25" x14ac:dyDescent="0.2">
      <c r="A93"/>
      <c r="B93"/>
      <c r="C93"/>
      <c r="D93"/>
      <c r="E93"/>
      <c r="F93"/>
      <c r="G93"/>
      <c r="I93" t="str">
        <f t="shared" ca="1" si="3"/>
        <v/>
      </c>
      <c r="J93" s="77"/>
      <c r="K93" s="80"/>
      <c r="L93" s="79"/>
      <c r="M93" s="79"/>
      <c r="N93" s="76"/>
    </row>
    <row r="94" spans="1:21" ht="15.75" x14ac:dyDescent="0.25">
      <c r="A94"/>
      <c r="B94"/>
      <c r="C94"/>
      <c r="D94"/>
      <c r="E94"/>
      <c r="F94"/>
      <c r="G94"/>
      <c r="I94" t="str">
        <f ca="1">IF($S$109=0,"","F")</f>
        <v/>
      </c>
      <c r="J94" s="691" t="s">
        <v>701</v>
      </c>
      <c r="K94" s="691"/>
      <c r="L94" s="691"/>
      <c r="M94" s="691"/>
      <c r="N94" s="691"/>
      <c r="O94" s="691"/>
      <c r="P94" s="691"/>
      <c r="Q94" s="691"/>
      <c r="R94" s="691"/>
      <c r="S94" s="691"/>
      <c r="U94" s="522" t="str">
        <f>IF(COUNTIF(ORÇAMENTO!$V$15:$V$27,BDI_3.Título)=0,"",IF(OR(Import.BDI.Tipo3="(SELECIONAR)",Import.BDI.Tipo3="",U97&lt;&gt;"",S101=0,S102=0,S103=0,S104=0,S105=0,S106=0),"Falta preencher o BDI 3",""))</f>
        <v/>
      </c>
    </row>
    <row r="95" spans="1:21" x14ac:dyDescent="0.2">
      <c r="A95"/>
      <c r="B95"/>
      <c r="C95"/>
      <c r="D95"/>
      <c r="E95"/>
      <c r="F95"/>
      <c r="G95"/>
      <c r="I95" t="str">
        <f t="shared" ref="I95:I132" ca="1" si="6">IF($S$109=0,"","F")</f>
        <v/>
      </c>
    </row>
    <row r="96" spans="1:21" x14ac:dyDescent="0.2">
      <c r="A96"/>
      <c r="B96"/>
      <c r="C96"/>
      <c r="D96"/>
      <c r="E96"/>
      <c r="F96"/>
      <c r="G96"/>
      <c r="I96" t="str">
        <f t="shared" ca="1" si="6"/>
        <v/>
      </c>
      <c r="J96" s="689" t="s">
        <v>666</v>
      </c>
      <c r="K96" s="689"/>
      <c r="L96" s="689"/>
      <c r="M96" s="689"/>
      <c r="N96" s="689"/>
      <c r="O96" s="689"/>
      <c r="P96" s="689"/>
      <c r="Q96" s="689"/>
      <c r="R96" s="689"/>
      <c r="S96" s="689"/>
    </row>
    <row r="97" spans="1:26" ht="15" x14ac:dyDescent="0.25">
      <c r="A97"/>
      <c r="B97"/>
      <c r="C97"/>
      <c r="D97"/>
      <c r="E97"/>
      <c r="F97"/>
      <c r="G97"/>
      <c r="I97" t="str">
        <f t="shared" ca="1" si="6"/>
        <v/>
      </c>
      <c r="J97" s="690" t="s">
        <v>140</v>
      </c>
      <c r="K97" s="690"/>
      <c r="L97" s="690"/>
      <c r="M97" s="690"/>
      <c r="N97" s="690"/>
      <c r="O97" s="690"/>
      <c r="P97" s="690"/>
      <c r="Q97" s="690"/>
      <c r="R97" s="690"/>
      <c r="S97" s="690"/>
      <c r="T97" s="569" t="str">
        <f ca="1">IF(U97="","","◄")</f>
        <v/>
      </c>
      <c r="U97" s="568" t="str">
        <f ca="1">IF(AND(OR(S109&gt;0,COUNTIF(ORÇAMENTO!$V$15:$V$27,BDI_3.Título)&gt;0),OR(Import.BDI.Tipo3="(SELECIONAR)",Import.BDI.Tipo3="")),"Selecione o Tipo de obra","")</f>
        <v/>
      </c>
    </row>
    <row r="98" spans="1:26" x14ac:dyDescent="0.2">
      <c r="A98"/>
      <c r="B98"/>
      <c r="C98"/>
      <c r="D98"/>
      <c r="E98"/>
      <c r="F98"/>
      <c r="G98"/>
      <c r="I98" t="str">
        <f t="shared" ca="1" si="6"/>
        <v/>
      </c>
    </row>
    <row r="99" spans="1:26" ht="12.75" customHeight="1" x14ac:dyDescent="0.2">
      <c r="A99"/>
      <c r="B99"/>
      <c r="C99"/>
      <c r="D99"/>
      <c r="E99"/>
      <c r="F99"/>
      <c r="G99"/>
      <c r="I99" t="str">
        <f t="shared" ca="1" si="6"/>
        <v/>
      </c>
      <c r="J99" s="688" t="s">
        <v>668</v>
      </c>
      <c r="K99" s="688"/>
      <c r="L99" s="688"/>
      <c r="M99" s="688"/>
      <c r="N99" s="688"/>
      <c r="O99" s="688"/>
      <c r="P99" s="688"/>
      <c r="Q99" s="688"/>
      <c r="R99" s="688" t="s">
        <v>669</v>
      </c>
      <c r="S99" s="679" t="s">
        <v>670</v>
      </c>
      <c r="U99" s="679" t="s">
        <v>671</v>
      </c>
      <c r="V99" s="679"/>
      <c r="W99" s="679"/>
      <c r="X99" s="687" t="s">
        <v>672</v>
      </c>
      <c r="Y99" s="687" t="s">
        <v>673</v>
      </c>
      <c r="Z99" s="687" t="s">
        <v>674</v>
      </c>
    </row>
    <row r="100" spans="1:26" ht="12.75" customHeight="1" x14ac:dyDescent="0.2">
      <c r="A100"/>
      <c r="B100"/>
      <c r="C100"/>
      <c r="D100"/>
      <c r="E100"/>
      <c r="F100"/>
      <c r="G100"/>
      <c r="I100" t="str">
        <f t="shared" ca="1" si="6"/>
        <v/>
      </c>
      <c r="J100" s="688"/>
      <c r="K100" s="688"/>
      <c r="L100" s="688"/>
      <c r="M100" s="688"/>
      <c r="N100" s="688"/>
      <c r="O100" s="688"/>
      <c r="P100" s="688"/>
      <c r="Q100" s="688"/>
      <c r="R100" s="688"/>
      <c r="S100" s="679"/>
      <c r="U100" s="679"/>
      <c r="V100" s="679"/>
      <c r="W100" s="679"/>
      <c r="X100" s="687"/>
      <c r="Y100" s="687"/>
      <c r="Z100" s="687"/>
    </row>
    <row r="101" spans="1:26" ht="15" customHeight="1" x14ac:dyDescent="0.2">
      <c r="A101"/>
      <c r="B101"/>
      <c r="C101"/>
      <c r="D101"/>
      <c r="E101"/>
      <c r="F101"/>
      <c r="G101"/>
      <c r="I101" t="str">
        <f t="shared" ca="1" si="6"/>
        <v/>
      </c>
      <c r="J101" s="675" t="str">
        <f>IF($J$17=$A$146,"Encargos Sociais incidentes sobre a mão de obra","Administração Central")</f>
        <v>Administração Central</v>
      </c>
      <c r="K101" s="675"/>
      <c r="L101" s="675"/>
      <c r="M101" s="675"/>
      <c r="N101" s="675"/>
      <c r="O101" s="675"/>
      <c r="P101" s="675"/>
      <c r="Q101" s="675"/>
      <c r="R101" s="60" t="str">
        <f>IF($J97=$A$146,"K1","AC")</f>
        <v>AC</v>
      </c>
      <c r="S101" s="61"/>
      <c r="T101" s="578" t="str">
        <f ca="1">IF(AND($U$14&lt;&gt;"",S101=""),"◄","")</f>
        <v/>
      </c>
      <c r="U101" s="676" t="str">
        <f>IFERROR(IF(AND(S101&gt;=X101,S101&lt;=Z101),"OK","FORA DO INTERVALO"),"-")</f>
        <v>-</v>
      </c>
      <c r="V101" s="677"/>
      <c r="W101" s="678"/>
      <c r="X101" s="62" t="e">
        <f>VLOOKUP(CONCATENATE(J97,"-",R101),$C$2:$G$136,3,FALSE)</f>
        <v>#N/A</v>
      </c>
      <c r="Y101" s="62" t="e">
        <f>VLOOKUP(CONCATENATE(J97,"-",R101),$C$2:$G$136,4,FALSE)</f>
        <v>#N/A</v>
      </c>
      <c r="Z101" s="62" t="e">
        <f>VLOOKUP(CONCATENATE(J97,"-",R101),$C$2:$G$136,5,FALSE)</f>
        <v>#N/A</v>
      </c>
    </row>
    <row r="102" spans="1:26" ht="15" customHeight="1" x14ac:dyDescent="0.2">
      <c r="A102"/>
      <c r="B102"/>
      <c r="C102"/>
      <c r="D102"/>
      <c r="E102"/>
      <c r="F102"/>
      <c r="G102"/>
      <c r="I102" t="str">
        <f t="shared" ca="1" si="6"/>
        <v/>
      </c>
      <c r="J102" s="675" t="str">
        <f>IF($J$17=$A$146,"Administração Central da empresa ou consultoria - overhead","Seguro e Garantia")</f>
        <v>Seguro e Garantia</v>
      </c>
      <c r="K102" s="675"/>
      <c r="L102" s="675"/>
      <c r="M102" s="675"/>
      <c r="N102" s="675"/>
      <c r="O102" s="675"/>
      <c r="P102" s="675"/>
      <c r="Q102" s="675"/>
      <c r="R102" s="60" t="str">
        <f>IF($J97=$A$146,"K2","SG")</f>
        <v>SG</v>
      </c>
      <c r="S102" s="61"/>
      <c r="T102" s="578" t="str">
        <f t="shared" ref="T102:T106" ca="1" si="7">IF(AND($U$14&lt;&gt;"",S102=""),"◄","")</f>
        <v/>
      </c>
      <c r="U102" s="676" t="str">
        <f t="shared" ref="U102:U107" si="8">IFERROR(IF(AND(S102&gt;=X102,S102&lt;=Z102),"OK","FORA DO INTERVALO"),"-")</f>
        <v>-</v>
      </c>
      <c r="V102" s="677"/>
      <c r="W102" s="678"/>
      <c r="X102" s="62" t="e">
        <f>VLOOKUP(CONCATENATE(J97,"-",R102),$C$2:$G$136,3,FALSE)</f>
        <v>#N/A</v>
      </c>
      <c r="Y102" s="62" t="e">
        <f>VLOOKUP(CONCATENATE(J97,"-",R102),$C$2:$G$136,4,FALSE)</f>
        <v>#N/A</v>
      </c>
      <c r="Z102" s="62" t="e">
        <f>VLOOKUP(CONCATENATE(J97,"-",R102),$C$2:$G$136,5,FALSE)</f>
        <v>#N/A</v>
      </c>
    </row>
    <row r="103" spans="1:26" ht="15" customHeight="1" x14ac:dyDescent="0.2">
      <c r="A103"/>
      <c r="B103"/>
      <c r="C103"/>
      <c r="D103"/>
      <c r="E103"/>
      <c r="F103"/>
      <c r="G103"/>
      <c r="I103" t="str">
        <f t="shared" ca="1" si="6"/>
        <v/>
      </c>
      <c r="J103" s="675" t="str">
        <f>IF($J$17=$A$146,"","Risco")</f>
        <v>Risco</v>
      </c>
      <c r="K103" s="675"/>
      <c r="L103" s="675"/>
      <c r="M103" s="675"/>
      <c r="N103" s="675"/>
      <c r="O103" s="675"/>
      <c r="P103" s="675"/>
      <c r="Q103" s="675"/>
      <c r="R103" s="60" t="str">
        <f>IF($J97=$A$146,"","R")</f>
        <v>R</v>
      </c>
      <c r="S103" s="61"/>
      <c r="T103" s="578" t="str">
        <f t="shared" ca="1" si="7"/>
        <v/>
      </c>
      <c r="U103" s="676" t="str">
        <f t="shared" si="8"/>
        <v>-</v>
      </c>
      <c r="V103" s="677"/>
      <c r="W103" s="678"/>
      <c r="X103" s="62" t="e">
        <f>VLOOKUP(CONCATENATE(J97,"-",R103),$C$2:$G$136,3,FALSE)</f>
        <v>#N/A</v>
      </c>
      <c r="Y103" s="62" t="e">
        <f>VLOOKUP(CONCATENATE(J97,"-",R103),$C$2:$G$136,4,FALSE)</f>
        <v>#N/A</v>
      </c>
      <c r="Z103" s="62" t="e">
        <f>VLOOKUP(CONCATENATE(J97,"-",R103),$C$2:$G$136,5,FALSE)</f>
        <v>#N/A</v>
      </c>
    </row>
    <row r="104" spans="1:26" ht="15" customHeight="1" x14ac:dyDescent="0.2">
      <c r="A104"/>
      <c r="B104"/>
      <c r="C104"/>
      <c r="D104"/>
      <c r="E104"/>
      <c r="F104"/>
      <c r="G104"/>
      <c r="I104" t="str">
        <f t="shared" ca="1" si="6"/>
        <v/>
      </c>
      <c r="J104" s="675" t="str">
        <f>IF($J$17=$A$146,"","Despesas Financeiras")</f>
        <v>Despesas Financeiras</v>
      </c>
      <c r="K104" s="675"/>
      <c r="L104" s="675"/>
      <c r="M104" s="675"/>
      <c r="N104" s="675"/>
      <c r="O104" s="675"/>
      <c r="P104" s="675"/>
      <c r="Q104" s="675"/>
      <c r="R104" s="60" t="str">
        <f>IF($J97=$A$146,"","DF")</f>
        <v>DF</v>
      </c>
      <c r="S104" s="61"/>
      <c r="T104" s="578" t="str">
        <f t="shared" ca="1" si="7"/>
        <v/>
      </c>
      <c r="U104" s="676" t="str">
        <f t="shared" si="8"/>
        <v>-</v>
      </c>
      <c r="V104" s="677"/>
      <c r="W104" s="678"/>
      <c r="X104" s="62" t="e">
        <f>VLOOKUP(CONCATENATE(J97,"-",R104),$C$2:$G$136,3,FALSE)</f>
        <v>#N/A</v>
      </c>
      <c r="Y104" s="62" t="e">
        <f>VLOOKUP(CONCATENATE(J97,"-",R104),$C$2:$G$136,4,FALSE)</f>
        <v>#N/A</v>
      </c>
      <c r="Z104" s="62" t="e">
        <f>VLOOKUP(CONCATENATE(J97,"-",R104),$C$2:$G$136,5,FALSE)</f>
        <v>#N/A</v>
      </c>
    </row>
    <row r="105" spans="1:26" ht="15" customHeight="1" x14ac:dyDescent="0.2">
      <c r="A105"/>
      <c r="B105"/>
      <c r="C105"/>
      <c r="D105"/>
      <c r="E105"/>
      <c r="F105"/>
      <c r="G105"/>
      <c r="I105" t="str">
        <f t="shared" ca="1" si="6"/>
        <v/>
      </c>
      <c r="J105" s="675" t="str">
        <f>IF($J$17=$A$146,"Margem bruta da empresa de consultoria","Lucro")</f>
        <v>Lucro</v>
      </c>
      <c r="K105" s="675"/>
      <c r="L105" s="675"/>
      <c r="M105" s="675"/>
      <c r="N105" s="675"/>
      <c r="O105" s="675"/>
      <c r="P105" s="675"/>
      <c r="Q105" s="675"/>
      <c r="R105" s="60" t="str">
        <f>IF($J97=$A$146,"K3","L")</f>
        <v>L</v>
      </c>
      <c r="S105" s="61"/>
      <c r="T105" s="578" t="str">
        <f t="shared" ca="1" si="7"/>
        <v/>
      </c>
      <c r="U105" s="676" t="str">
        <f t="shared" si="8"/>
        <v>-</v>
      </c>
      <c r="V105" s="677"/>
      <c r="W105" s="678"/>
      <c r="X105" s="62" t="e">
        <f>VLOOKUP(CONCATENATE(J97,"-",R105),$C$2:$G$136,3,FALSE)</f>
        <v>#N/A</v>
      </c>
      <c r="Y105" s="62" t="e">
        <f>VLOOKUP(CONCATENATE(J97,"-",R105),$C$2:$G$136,4,FALSE)</f>
        <v>#N/A</v>
      </c>
      <c r="Z105" s="62" t="e">
        <f>VLOOKUP(CONCATENATE(J97,"-",R105),$C$2:$G$136,5,FALSE)</f>
        <v>#N/A</v>
      </c>
    </row>
    <row r="106" spans="1:26" ht="15" customHeight="1" x14ac:dyDescent="0.2">
      <c r="A106"/>
      <c r="B106"/>
      <c r="C106"/>
      <c r="D106"/>
      <c r="E106"/>
      <c r="F106"/>
      <c r="G106"/>
      <c r="I106" t="str">
        <f t="shared" ca="1" si="6"/>
        <v/>
      </c>
      <c r="J106" s="675" t="s">
        <v>677</v>
      </c>
      <c r="K106" s="675"/>
      <c r="L106" s="675"/>
      <c r="M106" s="675"/>
      <c r="N106" s="675"/>
      <c r="O106" s="675"/>
      <c r="P106" s="675"/>
      <c r="Q106" s="675"/>
      <c r="R106" s="60" t="s">
        <v>458</v>
      </c>
      <c r="S106" s="61"/>
      <c r="T106" s="578" t="str">
        <f t="shared" ca="1" si="7"/>
        <v/>
      </c>
      <c r="U106" s="676" t="str">
        <f t="shared" si="8"/>
        <v>FORA DO INTERVALO</v>
      </c>
      <c r="V106" s="677"/>
      <c r="W106" s="678"/>
      <c r="X106" s="62">
        <v>3.6499999999999998E-2</v>
      </c>
      <c r="Y106" s="62">
        <v>3.6499999999999998E-2</v>
      </c>
      <c r="Z106" s="62">
        <v>3.6499999999999998E-2</v>
      </c>
    </row>
    <row r="107" spans="1:26" ht="15" customHeight="1" x14ac:dyDescent="0.2">
      <c r="A107"/>
      <c r="B107"/>
      <c r="C107"/>
      <c r="D107"/>
      <c r="E107"/>
      <c r="F107"/>
      <c r="G107"/>
      <c r="I107" t="str">
        <f t="shared" ca="1" si="6"/>
        <v/>
      </c>
      <c r="J107" s="675" t="s">
        <v>678</v>
      </c>
      <c r="K107" s="675"/>
      <c r="L107" s="675"/>
      <c r="M107" s="675"/>
      <c r="N107" s="675"/>
      <c r="O107" s="675"/>
      <c r="P107" s="675"/>
      <c r="Q107" s="675"/>
      <c r="R107" s="60" t="s">
        <v>679</v>
      </c>
      <c r="S107" s="62">
        <f ca="1">IF(AND($J97&lt;&gt;$A$145,COUNTA(OFFSET(S100,1,0,6))&gt;0),$R$11*$R$10,0)</f>
        <v>0</v>
      </c>
      <c r="U107" s="676" t="str">
        <f t="shared" ca="1" si="8"/>
        <v>OK</v>
      </c>
      <c r="V107" s="677"/>
      <c r="W107" s="678"/>
      <c r="X107" s="62">
        <v>0</v>
      </c>
      <c r="Y107" s="62">
        <v>2.5000000000000001E-2</v>
      </c>
      <c r="Z107" s="62">
        <v>0.05</v>
      </c>
    </row>
    <row r="108" spans="1:26" ht="15" customHeight="1" x14ac:dyDescent="0.2">
      <c r="A108"/>
      <c r="B108"/>
      <c r="C108"/>
      <c r="D108"/>
      <c r="E108"/>
      <c r="F108"/>
      <c r="G108"/>
      <c r="I108" t="str">
        <f t="shared" ca="1" si="6"/>
        <v/>
      </c>
      <c r="J108" s="675" t="s">
        <v>680</v>
      </c>
      <c r="K108" s="675"/>
      <c r="L108" s="675"/>
      <c r="M108" s="675"/>
      <c r="N108" s="675"/>
      <c r="O108" s="675"/>
      <c r="P108" s="675"/>
      <c r="Q108" s="675"/>
      <c r="R108" s="60" t="s">
        <v>681</v>
      </c>
      <c r="S108" s="62" cm="1">
        <f t="array" aca="1" ref="S108" ca="1">IF(BDI.Opcao&lt;&gt;"Desonerado",0,IF(AND($J97&lt;&gt;$A$145,COUNTA(OFFSET(S100,1,0,6))&gt;0),IF(YEAR(Import.DataBase)&lt;2025,4.5%,IF(YEAR(Import.DataBase)=2025,3.6%,IF(YEAR(Import.DataBase)=2026,2.7%,IF(YEAR(Import.DataBase)=2027,1.8%,0%)))),0%))</f>
        <v>0</v>
      </c>
      <c r="U108" s="676" t="s">
        <v>682</v>
      </c>
      <c r="V108" s="677"/>
      <c r="W108" s="678"/>
      <c r="X108" s="63">
        <f ca="1">$S108</f>
        <v>0</v>
      </c>
      <c r="Y108" s="63">
        <f ca="1">$S108</f>
        <v>0</v>
      </c>
      <c r="Z108" s="63">
        <f ca="1">$S108</f>
        <v>0</v>
      </c>
    </row>
    <row r="109" spans="1:26" ht="15" customHeight="1" x14ac:dyDescent="0.2">
      <c r="A109"/>
      <c r="B109"/>
      <c r="C109"/>
      <c r="D109"/>
      <c r="E109"/>
      <c r="F109"/>
      <c r="G109"/>
      <c r="I109" t="str">
        <f t="shared" ca="1" si="6"/>
        <v/>
      </c>
      <c r="J109" s="675" t="s">
        <v>683</v>
      </c>
      <c r="K109" s="675"/>
      <c r="L109" s="675"/>
      <c r="M109" s="675"/>
      <c r="N109" s="675"/>
      <c r="O109" s="675"/>
      <c r="P109" s="675"/>
      <c r="Q109" s="675"/>
      <c r="R109" s="64" t="s">
        <v>658</v>
      </c>
      <c r="S109" s="62">
        <f ca="1">IF($J97=$A$145,0,ROUND((((1+S101+S102+S103)*(1+S104)*(1+S105)/(1-(S106+S107)))-1),4))</f>
        <v>0</v>
      </c>
      <c r="U109" s="679" t="str">
        <f ca="1">IFERROR(IF(OR($J$17=$A$146,$J$17=$A$145,AND(S109&gt;=X109,S109&lt;=Z109)),"OK","FORA DO INTERVALO"),IF(S109=0,"OK","Selecione o Tipo de obra"))</f>
        <v>OK</v>
      </c>
      <c r="V109" s="679"/>
      <c r="W109" s="679"/>
      <c r="X109" s="62" t="e">
        <f>IF($J97=$A$145,0,VLOOKUP(CONCATENATE($J97,"-",$R109),$C$2:$G$136,3,FALSE))</f>
        <v>#N/A</v>
      </c>
      <c r="Y109" s="62" t="e">
        <f>IF($J97=$A$145,0,VLOOKUP(CONCATENATE($J97,"-",$R109),$C$2:$G$136,4,FALSE))</f>
        <v>#N/A</v>
      </c>
      <c r="Z109" s="62" t="e">
        <f>IF($J97=$A$145,0,VLOOKUP(CONCATENATE($J97,"-",$R109),$C$2:$G$136,5,FALSE))</f>
        <v>#N/A</v>
      </c>
    </row>
    <row r="110" spans="1:26" ht="15" customHeight="1" x14ac:dyDescent="0.2">
      <c r="A110"/>
      <c r="B110"/>
      <c r="C110"/>
      <c r="D110"/>
      <c r="E110"/>
      <c r="F110"/>
      <c r="G110"/>
      <c r="I110" t="str">
        <f t="shared" ca="1" si="6"/>
        <v/>
      </c>
      <c r="J110" s="680" t="s">
        <v>684</v>
      </c>
      <c r="K110" s="680"/>
      <c r="L110" s="680"/>
      <c r="M110" s="680"/>
      <c r="N110" s="680"/>
      <c r="O110" s="680"/>
      <c r="P110" s="680"/>
      <c r="Q110" s="680"/>
      <c r="R110" s="65" t="s">
        <v>685</v>
      </c>
      <c r="S110" s="66">
        <f ca="1">IF($J97=$A$145,0,ROUND((((1+S101+S102+S103)*(1+S104)*(1+S105)/(1-(S106+S107+S108)))-1),4))</f>
        <v>0</v>
      </c>
    </row>
    <row r="111" spans="1:26" ht="15" customHeight="1" x14ac:dyDescent="0.2">
      <c r="A111"/>
      <c r="B111"/>
      <c r="C111"/>
      <c r="D111"/>
      <c r="E111"/>
      <c r="F111"/>
      <c r="G111"/>
      <c r="I111" t="str">
        <f t="shared" ca="1" si="6"/>
        <v/>
      </c>
    </row>
    <row r="112" spans="1:26" ht="15.75" x14ac:dyDescent="0.2">
      <c r="A112"/>
      <c r="B112"/>
      <c r="C112"/>
      <c r="D112"/>
      <c r="E112"/>
      <c r="F112"/>
      <c r="G112"/>
      <c r="I112" t="str">
        <f t="shared" ca="1" si="6"/>
        <v/>
      </c>
      <c r="J112" s="67" t="str">
        <f ca="1">IF(U109&lt;&gt;"ok","X","")</f>
        <v/>
      </c>
      <c r="K112" s="681" t="str">
        <f ca="1">IF(U109&lt;&gt;"ok","Anexo: Relatório Técnico Circunstanciado justificando a adoção do percentual de cada parcela do BDI.","")</f>
        <v/>
      </c>
      <c r="L112" s="681"/>
      <c r="M112" s="681"/>
      <c r="N112" s="681"/>
      <c r="O112" s="681"/>
      <c r="P112" s="681"/>
      <c r="Q112" s="681"/>
      <c r="R112" s="681"/>
      <c r="S112" s="681"/>
    </row>
    <row r="113" spans="1:19" x14ac:dyDescent="0.2">
      <c r="A113"/>
      <c r="B113"/>
      <c r="C113"/>
      <c r="D113"/>
      <c r="E113"/>
      <c r="F113"/>
      <c r="G113"/>
      <c r="I113" t="str">
        <f t="shared" ca="1" si="6"/>
        <v/>
      </c>
    </row>
    <row r="114" spans="1:19" x14ac:dyDescent="0.2">
      <c r="A114"/>
      <c r="B114"/>
      <c r="C114"/>
      <c r="D114"/>
      <c r="E114"/>
      <c r="F114"/>
      <c r="G114"/>
      <c r="I114" t="str">
        <f t="shared" ca="1" si="6"/>
        <v/>
      </c>
      <c r="J114" s="683" t="s">
        <v>686</v>
      </c>
      <c r="K114" s="683"/>
      <c r="L114" s="683"/>
      <c r="M114" s="683"/>
      <c r="N114" s="683"/>
      <c r="O114" s="683"/>
      <c r="P114" s="683"/>
      <c r="Q114" s="683"/>
      <c r="R114" s="683"/>
      <c r="S114" s="683"/>
    </row>
    <row r="115" spans="1:19" ht="15.75" x14ac:dyDescent="0.25">
      <c r="A115"/>
      <c r="B115"/>
      <c r="C115"/>
      <c r="D115"/>
      <c r="E115"/>
      <c r="F115"/>
      <c r="G115"/>
      <c r="I115" t="str">
        <f t="shared" ca="1" si="6"/>
        <v/>
      </c>
      <c r="J115" s="68"/>
      <c r="K115" s="68"/>
      <c r="L115" s="68"/>
      <c r="M115" s="684" t="s">
        <v>687</v>
      </c>
      <c r="N115" s="685" t="str">
        <f>IF($J97=$A$146,"(1+K1+K2)*(1+K3)","(1+AC + S + R + G)*(1 + DF)*(1+L)")</f>
        <v>(1+AC + S + R + G)*(1 + DF)*(1+L)</v>
      </c>
      <c r="O115" s="685"/>
      <c r="P115" s="685"/>
      <c r="Q115" s="686" t="s">
        <v>688</v>
      </c>
      <c r="R115" s="68"/>
      <c r="S115" s="68"/>
    </row>
    <row r="116" spans="1:19" ht="15.75" x14ac:dyDescent="0.2">
      <c r="A116"/>
      <c r="B116"/>
      <c r="C116"/>
      <c r="D116"/>
      <c r="E116"/>
      <c r="F116"/>
      <c r="G116"/>
      <c r="I116" t="str">
        <f t="shared" ca="1" si="6"/>
        <v/>
      </c>
      <c r="J116" s="68"/>
      <c r="K116" s="68"/>
      <c r="L116" s="68"/>
      <c r="M116" s="684"/>
      <c r="N116" s="674" t="s">
        <v>689</v>
      </c>
      <c r="O116" s="674"/>
      <c r="P116" s="674"/>
      <c r="Q116" s="686"/>
      <c r="R116" s="68"/>
      <c r="S116" s="68"/>
    </row>
    <row r="117" spans="1:19" ht="15" customHeight="1" x14ac:dyDescent="0.2">
      <c r="A117"/>
      <c r="B117"/>
      <c r="C117"/>
      <c r="D117"/>
      <c r="E117"/>
      <c r="F117"/>
      <c r="G117"/>
      <c r="I117" t="str">
        <f t="shared" ca="1" si="6"/>
        <v/>
      </c>
      <c r="J117" s="68"/>
      <c r="K117" s="68"/>
      <c r="L117" s="68"/>
      <c r="M117" s="69"/>
      <c r="N117" s="71"/>
      <c r="O117" s="71"/>
      <c r="P117" s="71"/>
      <c r="Q117" s="70"/>
      <c r="R117" s="68"/>
      <c r="S117" s="68"/>
    </row>
    <row r="118" spans="1:19" ht="50.1" customHeight="1" x14ac:dyDescent="0.2">
      <c r="A118"/>
      <c r="B118"/>
      <c r="C118"/>
      <c r="D118"/>
      <c r="E118"/>
      <c r="F118"/>
      <c r="G118"/>
      <c r="I118" t="str">
        <f t="shared" ca="1" si="6"/>
        <v/>
      </c>
      <c r="J118" s="668" t="str">
        <f>CONCATENATE("Declaro para os devidos fins que, conforme legislação tributária municipal, a base de cálculo deste tipo de obra corresponde à ",$R$10*100,"%, com a respectiva alíquota de ",$R$11*100,"%.")</f>
        <v>Declaro para os devidos fins que, conforme legislação tributária municipal, a base de cálculo deste tipo de obra corresponde à 100%, com a respectiva alíquota de 3%.</v>
      </c>
      <c r="K118" s="668"/>
      <c r="L118" s="668"/>
      <c r="M118" s="668"/>
      <c r="N118" s="668"/>
      <c r="O118" s="668"/>
      <c r="P118" s="668"/>
      <c r="Q118" s="668"/>
      <c r="R118" s="668"/>
      <c r="S118" s="668"/>
    </row>
    <row r="119" spans="1:19" x14ac:dyDescent="0.2">
      <c r="A119"/>
      <c r="B119"/>
      <c r="C119"/>
      <c r="D119"/>
      <c r="E119"/>
      <c r="F119"/>
      <c r="G119"/>
      <c r="I119" t="str">
        <f t="shared" ca="1" si="6"/>
        <v/>
      </c>
    </row>
    <row r="120" spans="1:19" ht="50.1" customHeight="1" x14ac:dyDescent="0.2">
      <c r="A120"/>
      <c r="B120"/>
      <c r="C120"/>
      <c r="D120"/>
      <c r="E120"/>
      <c r="F120"/>
      <c r="G120"/>
      <c r="I120" t="str">
        <f t="shared" ca="1" si="6"/>
        <v/>
      </c>
      <c r="J120" s="668" t="str">
        <f ca="1">CONCATENATE("Declaro para os devidos fins que o regime de Contribuição Previdenciária sobre a Receita Bruta adotado para elaboração do orçamento foi ",IF(DESONERACAO="Sim","COM","SEM")," Desoneração, e que esta é a alternativa mais adequada para a Administração Pública.")</f>
        <v>Declaro para os devidos fins que o regime de Contribuição Previdenciária sobre a Receita Bruta adotado para elaboração do orçamento foi SEM Desoneração, e que esta é a alternativa mais adequada para a Administração Pública.</v>
      </c>
      <c r="K120" s="668"/>
      <c r="L120" s="668"/>
      <c r="M120" s="668"/>
      <c r="N120" s="668"/>
      <c r="O120" s="668"/>
      <c r="P120" s="668"/>
      <c r="Q120" s="668"/>
      <c r="R120" s="668"/>
      <c r="S120" s="668"/>
    </row>
    <row r="121" spans="1:19" x14ac:dyDescent="0.2">
      <c r="A121"/>
      <c r="B121"/>
      <c r="C121"/>
      <c r="D121"/>
      <c r="E121"/>
      <c r="F121"/>
      <c r="G121"/>
      <c r="I121" t="str">
        <f t="shared" ca="1" si="6"/>
        <v/>
      </c>
    </row>
    <row r="122" spans="1:19" x14ac:dyDescent="0.2">
      <c r="A122"/>
      <c r="B122"/>
      <c r="C122"/>
      <c r="D122"/>
      <c r="E122"/>
      <c r="F122"/>
      <c r="G122"/>
      <c r="I122" t="str">
        <f t="shared" ca="1" si="6"/>
        <v/>
      </c>
      <c r="J122" s="49" t="s">
        <v>692</v>
      </c>
    </row>
    <row r="123" spans="1:19" ht="110.1" customHeight="1" x14ac:dyDescent="0.2">
      <c r="A123"/>
      <c r="B123"/>
      <c r="C123"/>
      <c r="D123"/>
      <c r="E123"/>
      <c r="F123"/>
      <c r="G123"/>
      <c r="I123" t="str">
        <f t="shared" ca="1" si="6"/>
        <v/>
      </c>
      <c r="J123" s="669"/>
      <c r="K123" s="669"/>
      <c r="L123" s="669"/>
      <c r="M123" s="669"/>
      <c r="N123" s="669"/>
      <c r="O123" s="669"/>
      <c r="P123" s="669"/>
      <c r="Q123" s="669"/>
      <c r="R123" s="669"/>
      <c r="S123" s="669"/>
    </row>
    <row r="124" spans="1:19" x14ac:dyDescent="0.2">
      <c r="A124"/>
      <c r="B124"/>
      <c r="C124"/>
      <c r="D124"/>
      <c r="E124"/>
      <c r="F124"/>
      <c r="G124"/>
      <c r="I124" t="str">
        <f t="shared" ca="1" si="6"/>
        <v/>
      </c>
    </row>
    <row r="125" spans="1:19" x14ac:dyDescent="0.2">
      <c r="A125"/>
      <c r="B125"/>
      <c r="C125"/>
      <c r="D125"/>
      <c r="E125"/>
      <c r="F125"/>
      <c r="G125"/>
      <c r="I125" t="str">
        <f t="shared" ca="1" si="6"/>
        <v/>
      </c>
      <c r="J125" s="670" t="str">
        <f>Import.Município</f>
        <v>CAÇAPAVA DO SUL/RS</v>
      </c>
      <c r="K125" s="670"/>
      <c r="L125" s="670"/>
      <c r="M125" s="670"/>
      <c r="P125" s="671">
        <f>DADOS!$C$25</f>
        <v>45803</v>
      </c>
      <c r="Q125" s="671"/>
      <c r="R125" s="671"/>
      <c r="S125" s="671"/>
    </row>
    <row r="126" spans="1:19" x14ac:dyDescent="0.2">
      <c r="A126"/>
      <c r="B126"/>
      <c r="C126"/>
      <c r="D126"/>
      <c r="E126"/>
      <c r="F126"/>
      <c r="G126"/>
      <c r="I126" t="str">
        <f t="shared" ca="1" si="6"/>
        <v/>
      </c>
      <c r="J126" s="672" t="s">
        <v>696</v>
      </c>
      <c r="K126" s="672"/>
      <c r="L126" s="672"/>
      <c r="M126" s="672"/>
      <c r="O126" s="73"/>
      <c r="P126" s="74" t="s">
        <v>697</v>
      </c>
      <c r="Q126" s="75"/>
      <c r="R126" s="75"/>
      <c r="S126" s="75"/>
    </row>
    <row r="127" spans="1:19" ht="30" customHeight="1" x14ac:dyDescent="0.2">
      <c r="A127"/>
      <c r="B127"/>
      <c r="C127"/>
      <c r="D127"/>
      <c r="E127"/>
      <c r="F127"/>
      <c r="G127"/>
      <c r="I127" t="str">
        <f t="shared" ca="1" si="6"/>
        <v/>
      </c>
    </row>
    <row r="128" spans="1:19" ht="15" x14ac:dyDescent="0.2">
      <c r="A128"/>
      <c r="B128"/>
      <c r="C128"/>
      <c r="D128"/>
      <c r="E128"/>
      <c r="F128"/>
      <c r="G128"/>
      <c r="I128" t="str">
        <f t="shared" ca="1" si="6"/>
        <v/>
      </c>
      <c r="J128" s="673"/>
      <c r="K128" s="673"/>
      <c r="L128" s="673"/>
      <c r="M128" s="673"/>
      <c r="N128" s="76"/>
    </row>
    <row r="129" spans="1:14" x14ac:dyDescent="0.2">
      <c r="A129"/>
      <c r="B129"/>
      <c r="C129"/>
      <c r="D129"/>
      <c r="E129"/>
      <c r="F129"/>
      <c r="G129"/>
      <c r="I129" t="str">
        <f t="shared" ca="1" si="6"/>
        <v/>
      </c>
      <c r="J129" s="667" t="s">
        <v>699</v>
      </c>
      <c r="K129" s="667"/>
      <c r="L129" s="667"/>
      <c r="M129" s="667"/>
    </row>
    <row r="130" spans="1:14" ht="14.25" x14ac:dyDescent="0.2">
      <c r="A130"/>
      <c r="B130"/>
      <c r="C130"/>
      <c r="D130"/>
      <c r="E130"/>
      <c r="F130"/>
      <c r="G130"/>
      <c r="I130" t="str">
        <f t="shared" ca="1" si="6"/>
        <v/>
      </c>
      <c r="J130" s="77" t="s">
        <v>241</v>
      </c>
      <c r="K130" s="78" t="str">
        <f t="array" ref="K130:K132">Import.RespOrçamento</f>
        <v>HELMESONA DE O. SANTANA</v>
      </c>
      <c r="L130" s="79"/>
      <c r="M130" s="79"/>
      <c r="N130" s="76"/>
    </row>
    <row r="131" spans="1:14" ht="14.25" x14ac:dyDescent="0.2">
      <c r="A131"/>
      <c r="B131"/>
      <c r="C131"/>
      <c r="D131"/>
      <c r="E131"/>
      <c r="F131"/>
      <c r="G131"/>
      <c r="I131" t="str">
        <f t="shared" ca="1" si="6"/>
        <v/>
      </c>
      <c r="J131" s="77" t="s">
        <v>244</v>
      </c>
      <c r="K131" s="78" t="str">
        <v>CREA RS152843</v>
      </c>
      <c r="L131" s="79"/>
      <c r="M131" s="79"/>
      <c r="N131" s="76"/>
    </row>
    <row r="132" spans="1:14" ht="14.25" x14ac:dyDescent="0.2">
      <c r="A132"/>
      <c r="B132"/>
      <c r="C132"/>
      <c r="D132"/>
      <c r="E132"/>
      <c r="F132"/>
      <c r="G132"/>
      <c r="I132" t="str">
        <f t="shared" ca="1" si="6"/>
        <v/>
      </c>
      <c r="J132" s="77" t="s">
        <v>247</v>
      </c>
      <c r="K132" s="78" t="str">
        <v>ART 8809670</v>
      </c>
      <c r="L132" s="79"/>
      <c r="M132" s="79"/>
      <c r="N132" s="76"/>
    </row>
    <row r="133" spans="1:14" x14ac:dyDescent="0.2">
      <c r="A133"/>
      <c r="B133"/>
      <c r="C133"/>
      <c r="D133"/>
      <c r="E133"/>
      <c r="F133"/>
      <c r="G133"/>
    </row>
    <row r="134" spans="1:14" x14ac:dyDescent="0.2">
      <c r="A134"/>
      <c r="B134"/>
      <c r="C134"/>
      <c r="D134"/>
      <c r="E134"/>
      <c r="F134"/>
      <c r="G134"/>
    </row>
    <row r="135" spans="1:14" x14ac:dyDescent="0.2">
      <c r="A135"/>
      <c r="B135"/>
      <c r="C135"/>
      <c r="D135"/>
      <c r="E135"/>
      <c r="F135"/>
      <c r="G135"/>
    </row>
    <row r="136" spans="1:14" x14ac:dyDescent="0.2">
      <c r="A136"/>
      <c r="B136"/>
      <c r="C136"/>
      <c r="D136"/>
      <c r="E136"/>
      <c r="F136"/>
      <c r="G136"/>
    </row>
    <row r="137" spans="1:14" x14ac:dyDescent="0.2">
      <c r="A137"/>
      <c r="B137"/>
      <c r="C137"/>
      <c r="D137"/>
      <c r="E137"/>
      <c r="F137"/>
      <c r="G137"/>
    </row>
    <row r="138" spans="1:14" x14ac:dyDescent="0.2">
      <c r="A138" s="49" t="s">
        <v>140</v>
      </c>
    </row>
    <row r="139" spans="1:14" x14ac:dyDescent="0.2">
      <c r="A139" s="49" t="s">
        <v>647</v>
      </c>
    </row>
    <row r="140" spans="1:14" x14ac:dyDescent="0.2">
      <c r="A140" s="49" t="s">
        <v>660</v>
      </c>
    </row>
    <row r="141" spans="1:14" x14ac:dyDescent="0.2">
      <c r="A141" s="49" t="s">
        <v>664</v>
      </c>
    </row>
    <row r="142" spans="1:14" x14ac:dyDescent="0.2">
      <c r="A142" s="49" t="s">
        <v>675</v>
      </c>
    </row>
    <row r="143" spans="1:14" x14ac:dyDescent="0.2">
      <c r="A143" s="49" t="s">
        <v>676</v>
      </c>
    </row>
    <row r="144" spans="1:14" x14ac:dyDescent="0.2">
      <c r="A144" s="49" t="s">
        <v>667</v>
      </c>
    </row>
    <row r="145" spans="1:1" x14ac:dyDescent="0.2">
      <c r="A145" s="49" t="s">
        <v>690</v>
      </c>
    </row>
    <row r="146" spans="1:1" x14ac:dyDescent="0.2">
      <c r="A146" s="49" t="s">
        <v>693</v>
      </c>
    </row>
  </sheetData>
  <sheetProtection password="BD1F" sheet="1" objects="1" scenarios="1" autoFilter="0"/>
  <autoFilter ref="I11:I132"/>
  <mergeCells count="144">
    <mergeCell ref="J5:K5"/>
    <mergeCell ref="L5:M5"/>
    <mergeCell ref="N5:S5"/>
    <mergeCell ref="R1:S1"/>
    <mergeCell ref="R2:S2"/>
    <mergeCell ref="J4:K4"/>
    <mergeCell ref="L4:M4"/>
    <mergeCell ref="N4:S4"/>
    <mergeCell ref="J11:Q11"/>
    <mergeCell ref="R11:S11"/>
    <mergeCell ref="J7:S7"/>
    <mergeCell ref="J8:S8"/>
    <mergeCell ref="J10:Q10"/>
    <mergeCell ref="R10:S10"/>
    <mergeCell ref="X19:X20"/>
    <mergeCell ref="Y19:Y20"/>
    <mergeCell ref="J17:S17"/>
    <mergeCell ref="Z19:Z20"/>
    <mergeCell ref="U19:W20"/>
    <mergeCell ref="J19:Q20"/>
    <mergeCell ref="R19:R20"/>
    <mergeCell ref="S19:S20"/>
    <mergeCell ref="J14:S14"/>
    <mergeCell ref="J16:S16"/>
    <mergeCell ref="J23:Q23"/>
    <mergeCell ref="U23:W23"/>
    <mergeCell ref="J21:Q21"/>
    <mergeCell ref="U21:W21"/>
    <mergeCell ref="J22:Q22"/>
    <mergeCell ref="U22:W22"/>
    <mergeCell ref="J25:Q25"/>
    <mergeCell ref="U25:W25"/>
    <mergeCell ref="J26:Q26"/>
    <mergeCell ref="U26:W26"/>
    <mergeCell ref="J27:Q27"/>
    <mergeCell ref="U27:W27"/>
    <mergeCell ref="J28:Q28"/>
    <mergeCell ref="U28:W28"/>
    <mergeCell ref="J24:Q24"/>
    <mergeCell ref="U24:W24"/>
    <mergeCell ref="N36:P36"/>
    <mergeCell ref="J38:S38"/>
    <mergeCell ref="J30:Q30"/>
    <mergeCell ref="K32:S32"/>
    <mergeCell ref="J29:Q29"/>
    <mergeCell ref="U29:W29"/>
    <mergeCell ref="J34:S34"/>
    <mergeCell ref="M35:M36"/>
    <mergeCell ref="J49:M49"/>
    <mergeCell ref="J54:S54"/>
    <mergeCell ref="J45:M45"/>
    <mergeCell ref="P45:S45"/>
    <mergeCell ref="J46:M46"/>
    <mergeCell ref="J48:M48"/>
    <mergeCell ref="N35:P35"/>
    <mergeCell ref="Q35:Q36"/>
    <mergeCell ref="J40:S40"/>
    <mergeCell ref="J43:S43"/>
    <mergeCell ref="Y59:Y60"/>
    <mergeCell ref="Z59:Z60"/>
    <mergeCell ref="J59:Q60"/>
    <mergeCell ref="R59:R60"/>
    <mergeCell ref="S59:S60"/>
    <mergeCell ref="U59:W60"/>
    <mergeCell ref="X59:X60"/>
    <mergeCell ref="J61:Q61"/>
    <mergeCell ref="U61:W61"/>
    <mergeCell ref="J56:S56"/>
    <mergeCell ref="J57:S57"/>
    <mergeCell ref="J64:Q64"/>
    <mergeCell ref="U64:W64"/>
    <mergeCell ref="J62:Q62"/>
    <mergeCell ref="U62:W62"/>
    <mergeCell ref="J63:Q63"/>
    <mergeCell ref="U63:W63"/>
    <mergeCell ref="J65:Q65"/>
    <mergeCell ref="U65:W65"/>
    <mergeCell ref="J66:Q66"/>
    <mergeCell ref="U66:W66"/>
    <mergeCell ref="U67:W67"/>
    <mergeCell ref="J68:Q68"/>
    <mergeCell ref="U68:W68"/>
    <mergeCell ref="J94:S94"/>
    <mergeCell ref="J85:M85"/>
    <mergeCell ref="P85:S85"/>
    <mergeCell ref="J67:Q67"/>
    <mergeCell ref="J78:S78"/>
    <mergeCell ref="J70:Q70"/>
    <mergeCell ref="K72:S72"/>
    <mergeCell ref="J89:M89"/>
    <mergeCell ref="U69:W69"/>
    <mergeCell ref="J86:M86"/>
    <mergeCell ref="J88:M88"/>
    <mergeCell ref="J74:S74"/>
    <mergeCell ref="M75:M76"/>
    <mergeCell ref="J80:S80"/>
    <mergeCell ref="J83:S83"/>
    <mergeCell ref="N76:P76"/>
    <mergeCell ref="N75:P75"/>
    <mergeCell ref="Q75:Q76"/>
    <mergeCell ref="Y99:Y100"/>
    <mergeCell ref="Z99:Z100"/>
    <mergeCell ref="J99:Q100"/>
    <mergeCell ref="R99:R100"/>
    <mergeCell ref="S99:S100"/>
    <mergeCell ref="X99:X100"/>
    <mergeCell ref="J101:Q101"/>
    <mergeCell ref="U101:W101"/>
    <mergeCell ref="J96:S96"/>
    <mergeCell ref="J97:S97"/>
    <mergeCell ref="U99:W100"/>
    <mergeCell ref="U108:W108"/>
    <mergeCell ref="J109:Q109"/>
    <mergeCell ref="U109:W109"/>
    <mergeCell ref="J110:Q110"/>
    <mergeCell ref="K112:S112"/>
    <mergeCell ref="J118:S118"/>
    <mergeCell ref="I6:I10"/>
    <mergeCell ref="J114:S114"/>
    <mergeCell ref="J107:Q107"/>
    <mergeCell ref="M115:M116"/>
    <mergeCell ref="J105:Q105"/>
    <mergeCell ref="J103:Q103"/>
    <mergeCell ref="J69:Q69"/>
    <mergeCell ref="N115:P115"/>
    <mergeCell ref="Q115:Q116"/>
    <mergeCell ref="J102:Q102"/>
    <mergeCell ref="U102:W102"/>
    <mergeCell ref="U105:W105"/>
    <mergeCell ref="J106:Q106"/>
    <mergeCell ref="U106:W106"/>
    <mergeCell ref="J104:Q104"/>
    <mergeCell ref="U104:W104"/>
    <mergeCell ref="U103:W103"/>
    <mergeCell ref="U107:W107"/>
    <mergeCell ref="J129:M129"/>
    <mergeCell ref="J120:S120"/>
    <mergeCell ref="J123:S123"/>
    <mergeCell ref="J125:M125"/>
    <mergeCell ref="P125:S125"/>
    <mergeCell ref="J126:M126"/>
    <mergeCell ref="J128:M128"/>
    <mergeCell ref="N116:P116"/>
    <mergeCell ref="J108:Q108"/>
  </mergeCells>
  <phoneticPr fontId="38" type="noConversion"/>
  <conditionalFormatting sqref="J30:S30 J70:S70 J110:S110">
    <cfRule type="expression" dxfId="314" priority="2" stopIfTrue="1">
      <formula>DESONERACAO="não"</formula>
    </cfRule>
  </conditionalFormatting>
  <conditionalFormatting sqref="U69:W69 U109:W109 U29:W29">
    <cfRule type="expression" dxfId="313" priority="3" stopIfTrue="1">
      <formula>AND(U29&lt;&gt;"OK",U29&lt;&gt;"-",U29&lt;&gt;"")</formula>
    </cfRule>
    <cfRule type="cellIs" dxfId="312" priority="4" stopIfTrue="1" operator="equal">
      <formula>"OK"</formula>
    </cfRule>
  </conditionalFormatting>
  <conditionalFormatting sqref="S29 S69 S109">
    <cfRule type="expression" dxfId="311" priority="5" stopIfTrue="1">
      <formula>DESONERACAO="não"</formula>
    </cfRule>
  </conditionalFormatting>
  <dataValidations count="6">
    <dataValidation type="decimal" allowBlank="1" showErrorMessage="1" errorTitle="Erro de valores" error="Digite um valor entre 0% e 100%" sqref="S21:S26 S61:S66 S101:S106">
      <formula1>0</formula1>
      <formula2>1</formula2>
    </dataValidation>
    <dataValidation type="decimal" allowBlank="1" showErrorMessage="1" errorTitle="Erro de valores" error="Digite um valor maior do que 0." sqref="S27 S107 S67">
      <formula1>0</formula1>
      <formula2>1</formula2>
    </dataValidation>
    <dataValidation operator="greaterThanOrEqual" allowBlank="1" showErrorMessage="1" errorTitle="Erro de valores" error="Digite um valor igual a 0% ou 2%." sqref="S28 S68 S108">
      <formula1>0</formula1>
      <formula2>0</formula2>
    </dataValidation>
    <dataValidation type="decimal" operator="greaterThanOrEqual" allowBlank="1" showInputMessage="1" showErrorMessage="1" errorTitle="Valor não permitido" error="Digite um percentual entre 0% e 100%." promptTitle="Valores comuns:" prompt="Normalmente entre 2 e 5%." sqref="R11:S11">
      <formula1>0</formula1>
      <formula2>0</formula2>
    </dataValidation>
    <dataValidation type="decimal" allowBlank="1" showInputMessage="1" showErrorMessage="1" errorTitle="Valor não permitido" error="Digite um percentual entre 0% e 100%." promptTitle="Valores admissíveis:" prompt="Insira valores entre 0 e 100%." sqref="R10:S10">
      <formula1>0</formula1>
      <formula2>1</formula2>
    </dataValidation>
    <dataValidation type="list" allowBlank="1" showErrorMessage="1" sqref="J17:S17 J57:S57 J97:S97">
      <formula1>BDI.TipoObra</formula1>
      <formula2>0</formula2>
    </dataValidation>
  </dataValidations>
  <pageMargins left="0.78740157480314965" right="0.78740157480314965" top="0.78740157480314965" bottom="0.78740157480314965" header="5.7086614173228352" footer="0.59055118110236227"/>
  <pageSetup paperSize="9" scale="80" firstPageNumber="0" fitToHeight="0" orientation="portrait" horizontalDpi="300" verticalDpi="300" r:id="rId1"/>
  <headerFooter alignWithMargins="0">
    <oddHeader>&amp;L_</oddHeader>
    <oddFooter>&amp;LPMv3.10&amp;R&amp;P / &amp;N</oddFoot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5">
    <pageSetUpPr fitToPage="1"/>
  </sheetPr>
  <dimension ref="A1:AN44"/>
  <sheetViews>
    <sheetView showGridLines="0" view="pageBreakPreview" zoomScale="90" zoomScaleNormal="100" zoomScaleSheetLayoutView="90" workbookViewId="0">
      <pane xSplit="19" ySplit="15" topLeftCell="X16" activePane="bottomRight" state="frozen"/>
      <selection pane="topRight" activeCell="T1" sqref="T1"/>
      <selection pane="bottomLeft" activeCell="L16" sqref="L16"/>
      <selection pane="bottomRight"/>
    </sheetView>
  </sheetViews>
  <sheetFormatPr defaultRowHeight="12.75" x14ac:dyDescent="0.2"/>
  <cols>
    <col min="1" max="1" width="5.5703125" hidden="1" customWidth="1"/>
    <col min="2" max="2" width="10.42578125" hidden="1" customWidth="1"/>
    <col min="3" max="3" width="5.5703125" hidden="1" customWidth="1"/>
    <col min="4" max="4" width="12.85546875" hidden="1" customWidth="1"/>
    <col min="5" max="5" width="8.5703125" hidden="1" customWidth="1"/>
    <col min="6" max="6" width="12.42578125" hidden="1" customWidth="1"/>
    <col min="7" max="7" width="14.5703125" hidden="1" customWidth="1"/>
    <col min="8" max="8" width="11.42578125" hidden="1" customWidth="1"/>
    <col min="9" max="9" width="13.42578125" hidden="1" customWidth="1"/>
    <col min="10" max="10" width="7.42578125" hidden="1" customWidth="1"/>
    <col min="11" max="11" width="7.5703125" hidden="1" customWidth="1"/>
    <col min="12" max="12" width="3.5703125" customWidth="1"/>
    <col min="13" max="14" width="8.5703125" customWidth="1"/>
    <col min="15" max="15" width="12.5703125" customWidth="1"/>
    <col min="16" max="17" width="15.5703125" customWidth="1"/>
    <col min="18" max="18" width="65.5703125" customWidth="1"/>
    <col min="19" max="19" width="10.5703125" customWidth="1"/>
    <col min="20" max="21" width="14.5703125" customWidth="1"/>
    <col min="22" max="22" width="10.5703125" customWidth="1"/>
    <col min="23" max="23" width="14.5703125" customWidth="1"/>
    <col min="24" max="24" width="15.5703125" customWidth="1"/>
    <col min="25" max="25" width="3.5703125" customWidth="1"/>
    <col min="26" max="26" width="3.5703125" hidden="1" customWidth="1"/>
    <col min="27" max="28" width="14.5703125" hidden="1" customWidth="1"/>
    <col min="29" max="29" width="15.5703125" customWidth="1"/>
    <col min="30" max="31" width="9.140625" hidden="1" customWidth="1"/>
    <col min="32" max="32" width="15.5703125" hidden="1" customWidth="1"/>
    <col min="33" max="33" width="15.5703125" customWidth="1"/>
    <col min="35" max="35" width="1.5703125" customWidth="1"/>
    <col min="36" max="36" width="14.5703125" customWidth="1"/>
    <col min="37" max="37" width="1.5703125" customWidth="1"/>
    <col min="38" max="38" width="14.5703125" customWidth="1"/>
    <col min="39" max="40" width="15.5703125" customWidth="1"/>
  </cols>
  <sheetData>
    <row r="1" spans="1:40" ht="18" x14ac:dyDescent="0.2">
      <c r="M1" s="81"/>
      <c r="N1" s="81"/>
      <c r="R1" s="82" t="s">
        <v>702</v>
      </c>
      <c r="T1" s="82"/>
      <c r="X1" s="52" t="s">
        <v>646</v>
      </c>
      <c r="Y1" s="7"/>
      <c r="Z1" s="7"/>
      <c r="AA1" s="7"/>
      <c r="AB1" s="7"/>
    </row>
    <row r="2" spans="1:40" ht="15" x14ac:dyDescent="0.2">
      <c r="D2" t="s">
        <v>703</v>
      </c>
      <c r="E2" t="s">
        <v>704</v>
      </c>
      <c r="F2" t="s">
        <v>705</v>
      </c>
      <c r="G2" t="s">
        <v>706</v>
      </c>
      <c r="H2" t="s">
        <v>707</v>
      </c>
      <c r="I2" t="s">
        <v>708</v>
      </c>
      <c r="R2" s="83" t="str" cm="1">
        <f t="array" ref="R2">IF(TIPOORCAMENTO="licitado","Orçamento Licitado","Orçamento Base para Licitação")&amp;" - "&amp;import.recurso</f>
        <v>Orçamento Base para Licitação - (SELECIONAR)</v>
      </c>
      <c r="X2" s="11" t="s">
        <v>649</v>
      </c>
      <c r="Y2" s="84"/>
      <c r="Z2" s="84"/>
      <c r="AA2" s="84"/>
      <c r="AB2" s="84"/>
    </row>
    <row r="3" spans="1:40" x14ac:dyDescent="0.2">
      <c r="H3" s="85"/>
      <c r="R3" s="86"/>
    </row>
    <row r="4" spans="1:40" x14ac:dyDescent="0.2">
      <c r="A4" t="s">
        <v>709</v>
      </c>
      <c r="F4" t="s">
        <v>665</v>
      </c>
      <c r="G4" t="s">
        <v>700</v>
      </c>
      <c r="H4" t="s">
        <v>701</v>
      </c>
      <c r="I4" s="87">
        <v>0</v>
      </c>
      <c r="O4" s="689" t="s">
        <v>652</v>
      </c>
      <c r="P4" s="689"/>
      <c r="Q4" s="88" t="s">
        <v>710</v>
      </c>
      <c r="R4" s="88" t="s">
        <v>654</v>
      </c>
      <c r="S4" s="689" t="s">
        <v>711</v>
      </c>
      <c r="T4" s="689"/>
      <c r="U4" s="689"/>
      <c r="V4" s="689"/>
      <c r="W4" s="689"/>
      <c r="X4" s="689"/>
      <c r="Y4" s="77"/>
      <c r="Z4" s="77"/>
      <c r="AA4" s="77"/>
      <c r="AB4" s="77"/>
    </row>
    <row r="5" spans="1:40" ht="12.75" customHeight="1" x14ac:dyDescent="0.2">
      <c r="A5" s="7">
        <f ca="1">MAX($C$15:$C$27)</f>
        <v>2</v>
      </c>
      <c r="B5" s="7"/>
      <c r="C5" s="7"/>
      <c r="F5" s="87">
        <f ca="1">IF(BDI.Opcao="DESONERADO",BDI!$S$30,BDI!$S$29)</f>
        <v>0.2354</v>
      </c>
      <c r="G5" s="87">
        <f ca="1">IF(BDI.Opcao="DESONERADO",BDI!$S$70,BDI!$S$69)</f>
        <v>0</v>
      </c>
      <c r="H5" s="87">
        <f ca="1">IF(BDI.Opcao="DESONERADO",BDI!$S$110,BDI!$S$109)</f>
        <v>0</v>
      </c>
      <c r="O5" s="693">
        <f>Import.CR</f>
        <v>0</v>
      </c>
      <c r="P5" s="693"/>
      <c r="Q5" s="91" cm="1">
        <f t="array" ref="Q5">Import.TransfereGOV</f>
        <v>0</v>
      </c>
      <c r="R5" s="92" t="str">
        <f>Import.Proponente</f>
        <v>PREFEITURA MUNICIPAL</v>
      </c>
      <c r="S5" s="693" t="str">
        <f>Import.Apelido</f>
        <v>COBERTURA DE QUADRA</v>
      </c>
      <c r="T5" s="693"/>
      <c r="U5" s="693"/>
      <c r="V5" s="693"/>
      <c r="W5" s="693"/>
      <c r="X5" s="693"/>
      <c r="Y5" s="93"/>
      <c r="Z5" s="93"/>
      <c r="AA5" s="93"/>
      <c r="AB5" s="93"/>
      <c r="AE5" s="700" t="s">
        <v>712</v>
      </c>
      <c r="AF5" s="700"/>
    </row>
    <row r="6" spans="1:40" ht="5.0999999999999996" customHeight="1" x14ac:dyDescent="0.2">
      <c r="A6" s="7"/>
      <c r="B6" s="7"/>
      <c r="C6" s="7"/>
      <c r="H6" s="85"/>
      <c r="O6" s="94"/>
      <c r="P6" s="94"/>
      <c r="Q6" s="95"/>
      <c r="R6" s="95"/>
      <c r="S6" s="94"/>
      <c r="T6" s="94"/>
      <c r="U6" s="94"/>
      <c r="V6" s="94"/>
      <c r="W6" s="94"/>
      <c r="X6" s="94"/>
      <c r="Y6" s="93"/>
      <c r="Z6" s="93"/>
      <c r="AA6" s="93"/>
      <c r="AB6" s="93"/>
      <c r="AC6" s="96"/>
      <c r="AE6" s="89"/>
      <c r="AF6" s="90"/>
    </row>
    <row r="7" spans="1:40" ht="12.75" customHeight="1" x14ac:dyDescent="0.2">
      <c r="H7" s="85"/>
      <c r="O7" s="689" t="s">
        <v>713</v>
      </c>
      <c r="P7" s="689"/>
      <c r="Q7" s="88" t="s">
        <v>714</v>
      </c>
      <c r="R7" s="88" t="str" cm="1">
        <f t="array" ref="R7">IF(TIPOORCAMENTO="Licitado","NOME DA EMPRESA","DESCRIÇÃO DO LOTE")</f>
        <v>DESCRIÇÃO DO LOTE</v>
      </c>
      <c r="S7" s="701" t="str" cm="1">
        <f t="array" ref="S7">IF(TIPOORCAMENTO="Licitado","REGIME DE EXECUÇÃO","MUNICÍPIO / UF")</f>
        <v>MUNICÍPIO / UF</v>
      </c>
      <c r="T7" s="701"/>
      <c r="U7" s="701"/>
      <c r="V7" s="98" t="str" cm="1">
        <f t="array" ref="V7">IF(TIPOORCAMENTO="Licitado","","BDI 1")</f>
        <v>BDI 1</v>
      </c>
      <c r="W7" s="98" t="str" cm="1">
        <f t="array" ref="W7">IF(TIPOORCAMENTO="Licitado","","BDI 2")</f>
        <v>BDI 2</v>
      </c>
      <c r="X7" s="99" t="str" cm="1">
        <f t="array" ref="X7">IF(TIPOORCAMENTO="Licitado","Nº CTEF","BDI 3")</f>
        <v>BDI 3</v>
      </c>
      <c r="Y7" s="98"/>
      <c r="Z7" s="98"/>
      <c r="AE7" s="89" t="s">
        <v>715</v>
      </c>
      <c r="AF7" s="90" t="b">
        <v>1</v>
      </c>
      <c r="AJ7" s="704" t="s">
        <v>716</v>
      </c>
      <c r="AL7" s="702" t="s">
        <v>717</v>
      </c>
    </row>
    <row r="8" spans="1:40" ht="12.75" customHeight="1" x14ac:dyDescent="0.2">
      <c r="A8" s="7"/>
      <c r="B8" s="7"/>
      <c r="C8" s="7"/>
      <c r="F8" s="705" t="str">
        <f ca="1">IF(LEN(INFO("release"))&gt;5,"'Referência "&amp;Excel_BuiltIn_Database&amp;".xlsm'#Banco.$a5:$a$65536","'[Referência "&amp;Excel_BuiltIn_Database&amp;".xlsm]Banco'!$a5:$a$65536")</f>
        <v>'[Referência 03-2025.xlsm]Banco'!$a5:$a$65536</v>
      </c>
      <c r="G8" s="705"/>
      <c r="H8" s="705"/>
      <c r="I8" s="705"/>
      <c r="J8" s="705"/>
      <c r="K8" s="705"/>
      <c r="L8" s="682" t="s">
        <v>657</v>
      </c>
      <c r="O8" s="693" t="str">
        <f ca="1">IF(ISERROR(INDIRECT($F$9)),"(N/D: 'Referência "&amp;Excel_BuiltIn_Database&amp;".xlsm)",INDIRECT($F$9))</f>
        <v>(N/D: 'Referência 03-2025.xlsm)</v>
      </c>
      <c r="P8" s="693"/>
      <c r="Q8" s="100" t="str" cm="1">
        <f t="array" aca="1" ref="Q8" ca="1">TEXT(Import.DataBase,"mm-aa")&amp;IF(DESONERACAO="Sim"," (DES.)"," (N DES.)")</f>
        <v>03-25 (N DES.)</v>
      </c>
      <c r="R8" s="92" t="str" cm="1">
        <f t="array" ref="R8">IF(TIPOORCAMENTO="Licitado",Import.empresa,Import.DescLote)</f>
        <v>COBERTURA DE QUADRA</v>
      </c>
      <c r="S8" s="706" t="str" cm="1">
        <f t="array" ref="S8">IF(TIPOORCAMENTO="Licitado",Import.RegimeExecução,Import.Município)</f>
        <v>CAÇAPAVA DO SUL/RS</v>
      </c>
      <c r="T8" s="706"/>
      <c r="U8" s="706"/>
      <c r="V8" s="101" t="str" cm="1">
        <f t="array" aca="1" ref="V8" ca="1">IF(TIPOORCAMENTO="Licitado","",TEXT(F5,"0,00%"))</f>
        <v>23,54%</v>
      </c>
      <c r="W8" s="101" t="str" cm="1">
        <f t="array" aca="1" ref="W8" ca="1">IF(TIPOORCAMENTO="Licitado","",TEXT(G5,"0,00%"))</f>
        <v>0,00%</v>
      </c>
      <c r="X8" s="102" t="str" cm="1">
        <f t="array" aca="1" ref="X8" ca="1">IF(TIPOORCAMENTO="Licitado",Import.CTEF,TEXT(H5,"0,00%"))</f>
        <v>0,00%</v>
      </c>
      <c r="Y8" s="682" t="s">
        <v>718</v>
      </c>
      <c r="Z8" s="682" t="s">
        <v>719</v>
      </c>
      <c r="AA8" s="103"/>
      <c r="AB8" s="103"/>
      <c r="AE8" s="89" t="s">
        <v>720</v>
      </c>
      <c r="AF8" s="90" t="b">
        <v>1</v>
      </c>
      <c r="AJ8" s="704"/>
      <c r="AL8" s="702"/>
    </row>
    <row r="9" spans="1:40" ht="12.75" customHeight="1" x14ac:dyDescent="0.2">
      <c r="F9" s="705" t="str">
        <f ca="1">IF(LEN(INFO("release"))&gt;5,"'Referência "&amp;Excel_BuiltIn_Database&amp;".xlsm'#Banco.$d$3","'[Referência "&amp;Excel_BuiltIn_Database&amp;".xlsm]Banco'!$d$3")</f>
        <v>'[Referência 03-2025.xlsm]Banco'!$d$3</v>
      </c>
      <c r="G9" s="705"/>
      <c r="H9" s="705"/>
      <c r="I9" s="705"/>
      <c r="J9" s="705"/>
      <c r="K9" s="705"/>
      <c r="L9" s="682"/>
      <c r="Y9" s="682"/>
      <c r="Z9" s="682"/>
      <c r="AE9" s="89" t="s">
        <v>23</v>
      </c>
      <c r="AF9" s="90" t="b">
        <v>1</v>
      </c>
      <c r="AJ9" s="704"/>
      <c r="AL9" s="702"/>
    </row>
    <row r="10" spans="1:40" x14ac:dyDescent="0.2">
      <c r="G10" s="85"/>
      <c r="H10" s="85"/>
      <c r="L10" s="682"/>
      <c r="Y10" s="682"/>
      <c r="Z10" s="682"/>
      <c r="AC10" s="104" t="s">
        <v>721</v>
      </c>
      <c r="AE10" s="89" t="s">
        <v>722</v>
      </c>
      <c r="AF10" s="90" t="b">
        <v>1</v>
      </c>
      <c r="AJ10" s="704"/>
      <c r="AL10" s="702"/>
    </row>
    <row r="11" spans="1:40" x14ac:dyDescent="0.2">
      <c r="G11" s="85"/>
      <c r="H11" s="105"/>
      <c r="L11" s="682"/>
      <c r="Y11" s="682"/>
      <c r="Z11" s="682"/>
      <c r="AC11" s="106" t="str">
        <f ca="1">IF(COUNTIFS($L$15:$L$27,"F",$AC$15:$AC$27,"&lt;&gt;"&amp;" ")&gt;0,"NÃO OK","OK")</f>
        <v>OK</v>
      </c>
      <c r="AE11" s="89" t="s">
        <v>723</v>
      </c>
      <c r="AF11" s="90" t="b">
        <v>1</v>
      </c>
      <c r="AJ11" s="704"/>
      <c r="AL11" s="702"/>
    </row>
    <row r="12" spans="1:40" ht="20.100000000000001" customHeight="1" x14ac:dyDescent="0.2">
      <c r="G12" s="85"/>
      <c r="H12" s="85"/>
      <c r="L12" s="682"/>
      <c r="O12" s="605" t="str" cm="1">
        <f t="array" aca="1" ref="O12" ca="1">IF(COUNTIF($AC$15:$AC$27,"FONTE")&gt;0,"Falta preencher a Fonte (coluna P) na Linha "&amp;(14+MATCH("FONTE",$AC$15:$AC$27,0)),
 IF(COUNTIF($AC$15:$AC$27,"CÓDIGO")&gt;0,"Falta preencher o Código (coluna Q) na Linha "&amp;(14+MATCH("CÓDIGO",$AC$15:$AC$27,0)),
 IF(COUNTIF($AC$15:$AC$27,"CÓDIGO N/ID")&gt;0,"Código (coluna Q) não identificado na Linha "&amp;(14+MATCH("CÓDIGO N/ID",$AC$15:$AC$27,0))&amp;". Verifique se o código está correto ou busque outro código",
 IF(COUNTIF($AC$15:$AC$27,"DESCRIÇÃO")&gt;0,"Falta preencher a Descrição (coluna R) na Linha "&amp;(14+MATCH("DESCRIÇÃO",$AC$15:$AC$27,0)),
 IF(COUNTIF($AC$15:$AC$27,"UNIDADE")&gt;0,"Falta preencher a Unidade (coluna S) na Linha "&amp;(14+MATCH("UNIDADE",$AC$15:$AC$27,0)),
 IF(COUNTIF($AC$15:$AC$27,"SEM CUSTO")&gt;0,"Falta preencher o Custo Unitário (coluna U) na Linha "&amp;(14+MATCH("SEM CUSTO",$AC$15:$AC$27,0)),
 IF(COUNTIF($AC$15:$AC$27,"SEM PREÇO")&gt;0,"Falta preencher o Preço Unitário licitado (coluna AL) na Linha "&amp;(14+MATCH("SEM CUSTO",$AC$15:$AC$27,0)),
 IF(COUNTIF($AC$15:$AC$27,"BDI")&gt;0,"Falta definir o BDI (coluna V) na Linha "&amp;(14+MATCH("BDI",$AC$15:$AC$27,0)),
 IF(COUNTIF($AC$15:$AC$27,"ACIMA REF.")&gt;0,
         IF(_xlfn.SINGLE(TIPOORCAMENTO)="Proposto","O custo unitário (coluna U) na Linha "&amp;(14+MATCH("ACIMA REF.",$AC$15:$AC$27,0))&amp;" está acima do custo referencial (coluna AG)",
            "O preço unitário licitado (coluna AL) na Linha "&amp;(14+MATCH("ACIMA REF.",$AC$15:$AC$27,0))&amp;" está acima do preço referencial do edital (coluna AN)"),
 IF(COUNTIF($AC$15:$AC$27,"QUANT.")&gt;0,"Falta a Quantidade do serviço na Linha "&amp;(14+MATCH("QUANT.",$AC$15:$AC$27,0))&amp;IF(ACOMPANHAMENTO="PLE",". Preencher na aba CÁLCULO",". Preencher na coluna AJ"),
 IF(COUNTIF($AC$15:$AC$27,"Código &gt;13")&gt;0,"O tamanho do código do serviço no TransfereGOV é limitado a 13 caracteres. Resuma o código (coluna Q) na Linha "&amp;(14+MATCH("Código &gt;13",$AC$15:$AC$27,0)),
 IF(COUNTIF($AC$15:$AC$27,"Descrição &gt;100")&gt;0,"O tamanho da descrição de macrosserviço no TransfereGOV é limitado a 100 caracteres. Resuma a descrição (coluna R) na Linha "&amp;(14+MATCH("Descrição &gt;100",$AC$15:$AC$27,0)),
 IF(COUNTIF($AC$15:$AC$27,"Descrição &gt;500")&gt;0,"O tamanho da descrição de serviço no TransfereGOV é limitado a 500 caracteres. Resuma a descrição (coluna R) na Linha "&amp;(14+MATCH("Descrição &gt;500",$AC$15:$AC$27,0)),
 IF(COUNTIF($AC$15:$AC$27,"Unid. Não Disp")&gt;0,"Unidade não disponível na lista do TransfereGOV. Reveja a unidade (coluna S) na Linha "&amp;(14+MATCH("Unid. Não Disp",$AC$15:$AC$27,0)),""))))))))))))))</f>
        <v>Falta preencher o Custo Unitário (coluna U) na Linha 18</v>
      </c>
      <c r="Y12" s="682"/>
      <c r="Z12" s="682"/>
      <c r="AA12" s="703" t="s">
        <v>724</v>
      </c>
      <c r="AB12" s="703"/>
      <c r="AJ12" s="107" t="s">
        <v>662</v>
      </c>
      <c r="AL12" s="459" t="s">
        <v>662</v>
      </c>
    </row>
    <row r="13" spans="1:40" ht="35.1" customHeight="1" x14ac:dyDescent="0.2">
      <c r="A13" s="108" t="s">
        <v>725</v>
      </c>
      <c r="B13" s="108" t="s">
        <v>726</v>
      </c>
      <c r="C13" s="108" t="s">
        <v>727</v>
      </c>
      <c r="D13" s="108" t="s">
        <v>728</v>
      </c>
      <c r="E13" s="108" t="s">
        <v>729</v>
      </c>
      <c r="F13" s="108" t="s">
        <v>730</v>
      </c>
      <c r="G13" s="108" t="s">
        <v>731</v>
      </c>
      <c r="H13" s="108" t="s">
        <v>732</v>
      </c>
      <c r="I13" s="108" t="s">
        <v>733</v>
      </c>
      <c r="J13" s="108" t="s">
        <v>734</v>
      </c>
      <c r="K13" s="108" t="s">
        <v>735</v>
      </c>
      <c r="L13" s="107" t="s">
        <v>662</v>
      </c>
      <c r="M13" s="108" t="s">
        <v>736</v>
      </c>
      <c r="N13" s="109" t="s">
        <v>737</v>
      </c>
      <c r="O13" s="108" t="s">
        <v>738</v>
      </c>
      <c r="P13" s="108" t="s">
        <v>739</v>
      </c>
      <c r="Q13" s="108" t="s">
        <v>740</v>
      </c>
      <c r="R13" s="108" t="s">
        <v>119</v>
      </c>
      <c r="S13" s="110" t="s">
        <v>741</v>
      </c>
      <c r="T13" s="108" t="s">
        <v>715</v>
      </c>
      <c r="U13" s="108" t="str" cm="1">
        <f t="array" ref="U13">IF(TIPOORCAMENTO="Licitado","","Custo Unitário (sem BDI) (R$)")</f>
        <v>Custo Unitário (sem BDI) (R$)</v>
      </c>
      <c r="V13" s="108" t="str" cm="1">
        <f t="array" ref="V13">IF(TIPOORCAMENTO="Licitado","","BDI
(%)")</f>
        <v>BDI
(%)</v>
      </c>
      <c r="W13" s="108" t="s">
        <v>742</v>
      </c>
      <c r="X13" s="108" t="s">
        <v>743</v>
      </c>
      <c r="Y13" s="107" t="s">
        <v>662</v>
      </c>
      <c r="Z13" s="107" t="s">
        <v>662</v>
      </c>
      <c r="AA13" s="111" t="s">
        <v>744</v>
      </c>
      <c r="AB13" s="112" t="s">
        <v>745</v>
      </c>
      <c r="AC13" s="108" t="s">
        <v>746</v>
      </c>
      <c r="AD13" s="113" t="s">
        <v>747</v>
      </c>
      <c r="AE13" s="113" t="s">
        <v>748</v>
      </c>
      <c r="AF13" s="113" t="s">
        <v>749</v>
      </c>
      <c r="AG13" s="160" t="s">
        <v>750</v>
      </c>
      <c r="AH13" s="428" t="str" cm="1">
        <f t="array" ref="AH13">IF(TIPOORCAMENTO="LICITADO","Valor BDI Edital","Valor BDI")</f>
        <v>Valor BDI</v>
      </c>
      <c r="AJ13" s="293" t="s">
        <v>715</v>
      </c>
      <c r="AL13" s="293" t="s">
        <v>742</v>
      </c>
      <c r="AM13" s="160" t="s">
        <v>751</v>
      </c>
      <c r="AN13" s="161" t="s">
        <v>752</v>
      </c>
    </row>
    <row r="14" spans="1:40" hidden="1" x14ac:dyDescent="0.2">
      <c r="A14" t="str">
        <f>CHOOSE(1+LOG(1+2*(ORÇAMENTO.Nivel="Meta")+4*(ORÇAMENTO.Nivel="Nível 2")+8*(ORÇAMENTO.Nivel="Nível 3")+16*(ORÇAMENTO.Nivel="Nível 4")+32*(ORÇAMENTO.Nivel="Serviço"),2),0,1,2,3,4,"S")</f>
        <v>S</v>
      </c>
      <c r="B14" t="str">
        <f ca="1">IF(OR(C14="s",C14=0),OFFSET(B14,-1,0),C14)</f>
        <v>Save Nivel</v>
      </c>
      <c r="C14" t="str">
        <f ca="1">IF(OFFSET(C14,-1,0)="L",1,IF(OFFSET(C14,-1,0)=1,2,IF(OR(A14="s",A14=0),"S",IF(AND(OFFSET(C14,-1,0)=2,A14=4),3,IF(AND(OR(OFFSET(C14,-1,0)="s",OFFSET(C14,-1,0)=0),A14&lt;&gt;"s",A14&gt;OFFSET(B14,-1,0)),OFFSET(B14,-1,0),A14)))))</f>
        <v>S</v>
      </c>
      <c r="D14">
        <f ca="1">IF(OR(C14="S",C14=0),0,IF(ISERROR(K14),J14,SMALL(J14:K14,1)))</f>
        <v>0</v>
      </c>
      <c r="E14" t="str">
        <f ca="1">IF($C14=1,OFFSET(E14,-1,0)+MAX(1,COUNTIF(QCI!$A$13:$A$24,OFFSET(ORÇAMENTO!E14,-1,0))),OFFSET(E14,-1,0))</f>
        <v>n1</v>
      </c>
      <c r="F14" t="str">
        <f ca="1">IF($C14=1,0,IF($C14=2,OFFSET(F14,-1,0)+1,OFFSET(F14,-1,0)))</f>
        <v>n2</v>
      </c>
      <c r="G14" t="str">
        <f ca="1">IF(AND($C14&lt;=2,$C14&lt;&gt;0),0,IF($C14=3,OFFSET(G14,-1,0)+1,OFFSET(G14,-1,0)))</f>
        <v>n3</v>
      </c>
      <c r="H14" t="str">
        <f ca="1">IF(AND($C14&lt;=3,$C14&lt;&gt;0),0,IF($C14=4,OFFSET(H14,-1,0)+1,OFFSET(H14,-1,0)))</f>
        <v>n4</v>
      </c>
      <c r="I14" t="str">
        <f ca="1">IF(AND($C14&lt;=4,$C14&lt;&gt;0),0,IF(AND($C14="S",$X14&gt;0),OFFSET(I14,-1,0)+1,OFFSET(I14,-1,0)))</f>
        <v>n5</v>
      </c>
      <c r="J14">
        <f ca="1">IF(OR($C14="S",$C14=0),0,MATCH(0,OFFSET($D14,1,$C14,ROW($C$27)-ROW($C14)),0))</f>
        <v>0</v>
      </c>
      <c r="K14">
        <f ca="1">IF(OR($C14="S",$C14=0),0,MATCH(OFFSET($D14,0,$C14)+IF($C14&lt;&gt;1,1,COUNTIF(QCI!$A$13:$A$24,ORÇAMENTO!E14)),OFFSET($D14,1,$C14,ROW($C$27)-ROW($C14)),0))</f>
        <v>0</v>
      </c>
      <c r="L14" s="115" t="str">
        <f ca="1">IF(OR($X14&gt;0,$C14=1,$C14=2,$C14=3,$C14=4),"F","")</f>
        <v/>
      </c>
      <c r="M14" s="116" t="s">
        <v>708</v>
      </c>
      <c r="N14" s="117" t="str">
        <f ca="1">CHOOSE(1+LOG(1+2*(C14=1)+4*(C14=2)+8*(C14=3)+16*(C14=4)+32*(C14="S"),2),"","Meta","Nível 2","Nível 3","Nível 4","Serviço")</f>
        <v>Serviço</v>
      </c>
      <c r="O14" s="118" t="str">
        <f ca="1">IF(OR($C14=0,$L14=""),"-",CONCATENATE(E14&amp;".",IF(AND($A$5&gt;=2,$C14&gt;=2),F14&amp;".",""),IF(AND($A$5&gt;=3,$C14&gt;=3),G14&amp;".",""),IF(AND($A$5&gt;=4,$C14&gt;=4),H14&amp;".",""),IF($C14="S",I14&amp;".","")))</f>
        <v>-</v>
      </c>
      <c r="P14" s="119" t="s">
        <v>753</v>
      </c>
      <c r="Q14" s="120"/>
      <c r="R14" s="121" t="str">
        <f ca="1">IF($C14="S",REFERENCIA.Descricao,"(digite a descrição aqui)")</f>
        <v>(abra o arquivo 'Referência 03-2025.xlsm)</v>
      </c>
      <c r="S14" s="122" t="str">
        <f ca="1">REFERENCIA.Unidade</f>
        <v>-</v>
      </c>
      <c r="T14" s="123">
        <f ca="1">OFFSET(CÁLCULO!H$15,ROW($T14)-ROW(T$15),0)</f>
        <v>0</v>
      </c>
      <c r="U14" s="124"/>
      <c r="V14" s="125" t="s">
        <v>665</v>
      </c>
      <c r="W14" s="123">
        <f ca="1">IF($C14="S",ROUND(IF(TIPOORCAMENTO="Proposto",ORÇAMENTO.CustoUnitario*(1+$AH14),ORÇAMENTO.PrecoUnitarioLicitado),15-13*$AF$10),0)</f>
        <v>0</v>
      </c>
      <c r="X14" s="126" cm="1">
        <f t="array" aca="1" ref="X14" ca="1">IF($C14="S",IF(OR(Import.TipoArredondamento&lt;&gt;"TransfereGOV",ACOMPANHAMENTO="BM"),VTOTAL1,SUM(OFFSET(CÁLCULO!$AA$15,ROW($X14)-ROW($X$15),1):OFFSET(CÁLCULO!$AL$15,ROW($X14)-ROW($X$15),-1))),IF($C14=0,0,ROUND(SomaAgrup,15-13*$AF$11)))</f>
        <v>0</v>
      </c>
      <c r="Y14" s="127" t="s">
        <v>754</v>
      </c>
      <c r="Z14" t="str">
        <f ca="1">IF(AND($C14="S",$X14&gt;0),IF(ISBLANK($Y14),"RA",LEFT($Y14,2)),"")</f>
        <v/>
      </c>
      <c r="AA14" s="128">
        <f ca="1">IF($C14="S",IF($Z14="CP",$X14,IF($Z14="RA",(($X14)*QCI!$AA$3),0)),SomaAgrup)</f>
        <v>0</v>
      </c>
      <c r="AB14" s="129">
        <f ca="1">IF($C14="S",IF($Z14="OU",ROUND($X14,2),0),SomaAgrup)</f>
        <v>0</v>
      </c>
      <c r="AC14" s="571" t="str">
        <f ca="1">IF($N14=""," ",
IF(AND($C14&lt;&gt;"S",OR($R14="",$R14="(digite a descrição aqui)")),"DESCRIÇÃO",
IF(AND($C14="S",OR($Q14&lt;&gt;0,$T14&gt;0,$U14&gt;0),$P14=0),"FONTE",
IF(AND($C14="S",$P14&lt;&gt;0,OR($T14&gt;0,$U14&gt;0),$Q14=0),"CÓDIGO",
IF(AND($C14="S",$P14&lt;&gt;0,$Q14&lt;&gt;0,$R14="(Código não identificado nas referências)"),"CÓDIGO N/ID",
IF(AND($C14="S",OR($R14="",$R14="(digite a descrição aqui)"),OR($Q14&lt;&gt;0,$T14&gt;0,$U14&gt;0)),"DESCRIÇÃO",
IF(AND($C14="S",$P14&lt;&gt;0,$Q14&lt;&gt;0,$S14=""),"UNIDADE",
IF(AND($C14="S",$P14&lt;&gt;0,$Q14&lt;&gt;0,$U14=0),"SEM CUSTO",
IF(AND(TIPOORCAMENTO="Licitado",$AL14=0,$AN14&gt;0),"SEM PREÇO",
IF(AND($C14="S",$P14&lt;&gt;0,$Q14&lt;&gt;0,$U14&gt;0,$V14=0),"BDI",
IF(OR(AND(TIPOORCAMENTO="Proposto",$AG14&lt;&gt;"",$AG14&gt;0,ORÇAMENTO.CustoUnitario&gt;$AG14),AND(TIPOORCAMENTO="LICITADO",ORÇAMENTO.PrecoUnitarioLicitado&gt;$AN14)),"ACIMA REF.",
IF(AND($C14="S",$P14&lt;&gt;0,$Q14&lt;&gt;0,$T14=0,$U14&gt;0),"QUANT.",
IF(AND(Import.TipoArredondamento="TransfereGOV",$L14="F",$C14="S",LEN($Q14)&gt;13),"Código &gt;13",
IF(AND(Import.TipoArredondamento="TransfereGOV",$L14="F",$C14&lt;&gt;"S",LEN($R14)&gt;100),"Descrição &gt;100",
IF(AND(Import.TipoArredondamento="TransfereGOV",$L14="F",$C14="S",LEN($R14)&gt;500),"Descrição &gt;500",
IF(AND(Import.TipoArredondamento="TransfereGOV",$L14="F",$C14="S",LEFT(TRIM(UPPER($P14)),6)&lt;&gt;"SINAPI",ISNA(VLOOKUP(TRIM(UPPER($S14)),ListaTgov.Unidades,1,FALSE))),"Unid. Não Disp",
" "))))))))))))))))</f>
        <v xml:space="preserve"> </v>
      </c>
      <c r="AD14" t="str">
        <f ca="1">IF(C14&lt;=CRONO.NivelExibicao,MAX($AD$15:OFFSET(AD14,-1,0))+IF($C14&lt;&gt;1,1,MAX(1,COUNTIF(QCI!$A$13:$A$24,OFFSET($E14,-1,0)))),"")</f>
        <v/>
      </c>
      <c r="AE14" s="7" t="b">
        <f ca="1">IF(AND($C14="S",ORÇAMENTO.CodBarra&lt;&gt;""),IF(ORÇAMENTO.Fonte="",ORÇAMENTO.CodBarra,CONCATENATE(ORÇAMENTO.Fonte," ",ORÇAMENTO.CodBarra)))</f>
        <v>0</v>
      </c>
      <c r="AF14" s="12" t="str">
        <f ca="1">IF(ISERROR(INDIRECT(ORÇAMENTO.BancoRef)),"(abra o arquivo 'Referência "&amp;Excel_BuiltIn_Database&amp;".xlsm)",IF(OR($C14&lt;&gt;"S",ORÇAMENTO.CodBarra=""),"(Sem Código)",IF(ISERROR(MATCH($AE14,INDIRECT(ORÇAMENTO.BancoRef),0)),"(Código não identificado nas referências)",MATCH($AE14,INDIRECT(ORÇAMENTO.BancoRef),0))))</f>
        <v>(abra o arquivo 'Referência 03-2025.xlsm)</v>
      </c>
      <c r="AG14" s="429">
        <f ca="1">ROUND(IF(DESONERACAO="sim",REFERENCIA.Desonerado,REFERENCIA.NaoDesonerado),2)</f>
        <v>0</v>
      </c>
      <c r="AH14" s="430">
        <f ca="1">ROUND(IF(ISNUMBER(ORÇAMENTO.OpcaoBDI),ORÇAMENTO.OpcaoBDI,IF(LEFT(ORÇAMENTO.OpcaoBDI,3)="BDI",HLOOKUP(ORÇAMENTO.OpcaoBDI,$F$4:$H$5,2,FALSE),0)),15-11*$AF$9)</f>
        <v>0.2354</v>
      </c>
      <c r="AJ14" s="432"/>
      <c r="AL14" s="440"/>
      <c r="AM14" s="337">
        <f t="shared" ref="AM14:AM26" ca="1" si="0">$X14</f>
        <v>0</v>
      </c>
      <c r="AN14" s="471">
        <f ca="1">ROUND(ORÇAMENTO.CustoUnitario*(1+$AH14),2)</f>
        <v>0</v>
      </c>
    </row>
    <row r="15" spans="1:40" ht="12.75" customHeight="1" x14ac:dyDescent="0.2">
      <c r="A15">
        <v>0</v>
      </c>
      <c r="C15" t="s">
        <v>656</v>
      </c>
      <c r="D15">
        <f ca="1">COUNTA(OFFSET(D15,1,0):D$27)</f>
        <v>11</v>
      </c>
      <c r="E15">
        <v>0</v>
      </c>
      <c r="L15" s="115" t="s">
        <v>538</v>
      </c>
      <c r="M15" s="131" t="str">
        <f>IF(TIPOORCAMENTO="LICITADO","CTEF","LOTE")</f>
        <v>LOTE</v>
      </c>
      <c r="N15" s="131" t="str">
        <f>IF(TIPOORCAMENTO="LICITADO","CTEF","LOTE")</f>
        <v>LOTE</v>
      </c>
      <c r="O15" s="708" t="str">
        <f>Import.DescLote</f>
        <v>COBERTURA DE QUADRA</v>
      </c>
      <c r="P15" s="709"/>
      <c r="Q15" s="709"/>
      <c r="R15" s="709"/>
      <c r="S15" s="621"/>
      <c r="T15" s="622"/>
      <c r="U15" s="622"/>
      <c r="V15" s="623"/>
      <c r="W15" s="622"/>
      <c r="X15" s="132">
        <f ca="1">SUMIF(OFFSET($C15,1,0,ROW(X27)-ROW(X15)-1),"S",OFFSET(X15,1,0,ROW(X27)-ROW(X15)-1))</f>
        <v>0</v>
      </c>
      <c r="Y15" s="7"/>
      <c r="Z15" t="str">
        <f ca="1">IF(AND($C15="S",$X15&gt;0),LEFT($Y15,2),"")</f>
        <v/>
      </c>
      <c r="AA15" s="427">
        <f ca="1">SUMIF(OFFSET($C15,1,0,ROW(AA27)-ROW(AA15)-1),"S",OFFSET(AA15,1,0,ROW(AA27)-ROW(AA15)-1))</f>
        <v>0</v>
      </c>
      <c r="AB15" s="133">
        <f ca="1">SUMIF(OFFSET($C15,1,0,ROW(AB27)-ROW(AB15)-1),"S",OFFSET(AB15,1,0,ROW(AB27)-ROW(AB15)-1))</f>
        <v>0</v>
      </c>
      <c r="AC15" s="130" t="s">
        <v>755</v>
      </c>
      <c r="AG15" s="442"/>
      <c r="AH15" s="443"/>
      <c r="AJ15" s="431"/>
      <c r="AL15" s="441"/>
      <c r="AM15" s="472">
        <f t="shared" ca="1" si="0"/>
        <v>0</v>
      </c>
      <c r="AN15" s="473"/>
    </row>
    <row r="16" spans="1:40" x14ac:dyDescent="0.2">
      <c r="A16">
        <f t="shared" ref="A16:A26" si="1">CHOOSE(1+LOG(1+2*(ORÇAMENTO.Nivel="Meta")+4*(ORÇAMENTO.Nivel="Nível 2")+8*(ORÇAMENTO.Nivel="Nível 3")+16*(ORÇAMENTO.Nivel="Nível 4")+32*(ORÇAMENTO.Nivel="Serviço"),2),0,1,2,3,4,"S")</f>
        <v>1</v>
      </c>
      <c r="B16">
        <f t="shared" ref="B16:B26" ca="1" si="2">IF(OR(C16="s",C16=0),OFFSET(B16,-1,0),C16)</f>
        <v>1</v>
      </c>
      <c r="C16">
        <f t="shared" ref="C16:C26" ca="1" si="3">IF(OFFSET(C16,-1,0)="L",1,IF(OFFSET(C16,-1,0)=1,2,IF(OR(A16="s",A16=0),"S",IF(AND(OFFSET(C16,-1,0)=2,A16=4),3,IF(AND(OR(OFFSET(C16,-1,0)="s",OFFSET(C16,-1,0)=0),A16&lt;&gt;"s",A16&gt;OFFSET(B16,-1,0)),OFFSET(B16,-1,0),A16)))))</f>
        <v>1</v>
      </c>
      <c r="D16">
        <f t="shared" ref="D16:D26" ca="1" si="4">IF(OR(C16="S",C16=0),0,IF(ISERROR(K16),J16,SMALL(J16:K16,1)))</f>
        <v>11</v>
      </c>
      <c r="E16">
        <f ca="1">IF($C16=1,OFFSET(E16,-1,0)+MAX(1,COUNTIF(QCI!$A$13:$A$24,OFFSET(ORÇAMENTO!E16,-1,0))),OFFSET(E16,-1,0))</f>
        <v>1</v>
      </c>
      <c r="F16">
        <f t="shared" ref="F16:F26" ca="1" si="5">IF($C16=1,0,IF($C16=2,OFFSET(F16,-1,0)+1,OFFSET(F16,-1,0)))</f>
        <v>0</v>
      </c>
      <c r="G16">
        <f t="shared" ref="G16:G26" ca="1" si="6">IF(AND($C16&lt;=2,$C16&lt;&gt;0),0,IF($C16=3,OFFSET(G16,-1,0)+1,OFFSET(G16,-1,0)))</f>
        <v>0</v>
      </c>
      <c r="H16">
        <f t="shared" ref="H16:H26" ca="1" si="7">IF(AND($C16&lt;=3,$C16&lt;&gt;0),0,IF($C16=4,OFFSET(H16,-1,0)+1,OFFSET(H16,-1,0)))</f>
        <v>0</v>
      </c>
      <c r="I16">
        <f t="shared" ref="I16:I26" ca="1" si="8">IF(AND($C16&lt;=4,$C16&lt;&gt;0),0,IF(AND($C16="S",$X16&gt;0),OFFSET(I16,-1,0)+1,OFFSET(I16,-1,0)))</f>
        <v>0</v>
      </c>
      <c r="J16">
        <f t="shared" ref="J16:J26" ca="1" si="9">IF(OR($C16="S",$C16=0),0,MATCH(0,OFFSET($D16,1,$C16,ROW($C$27)-ROW($C16)),0))</f>
        <v>11</v>
      </c>
      <c r="K16" t="e">
        <f ca="1">IF(OR($C16="S",$C16=0),0,MATCH(OFFSET($D16,0,$C16)+IF($C16&lt;&gt;1,1,COUNTIF(QCI!$A$13:$A$24,ORÇAMENTO!E16)),OFFSET($D16,1,$C16,ROW($C$27)-ROW($C16)),0))</f>
        <v>#N/A</v>
      </c>
      <c r="L16" s="115" t="str">
        <f t="shared" ref="L16:L26" ca="1" si="10">IF(OR($X16&gt;0,$C16=1,$C16=2,$C16=3,$C16=4),"F","")</f>
        <v>F</v>
      </c>
      <c r="M16" s="116" t="s">
        <v>704</v>
      </c>
      <c r="N16" s="117" t="str">
        <f t="shared" ref="N16:N26" ca="1" si="11">CHOOSE(1+LOG(1+2*(C16=1)+4*(C16=2)+8*(C16=3)+16*(C16=4)+32*(C16="S"),2),"","Meta","Nível 2","Nível 3","Nível 4","Serviço")</f>
        <v>Meta</v>
      </c>
      <c r="O16" s="118" t="str">
        <f t="shared" ref="O16:O26" ca="1" si="12">IF(OR($C16=0,$L16=""),"-",CONCATENATE(E16&amp;".",IF(AND($A$5&gt;=2,$C16&gt;=2),F16&amp;".",""),IF(AND($A$5&gt;=3,$C16&gt;=3),G16&amp;".",""),IF(AND($A$5&gt;=4,$C16&gt;=4),H16&amp;".",""),IF($C16="S",I16&amp;".","")))</f>
        <v>1.</v>
      </c>
      <c r="P16" s="119" t="s">
        <v>753</v>
      </c>
      <c r="Q16" s="120"/>
      <c r="R16" s="121" t="s">
        <v>949</v>
      </c>
      <c r="S16" s="122" t="str">
        <f ca="1">REFERENCIA.Unidade</f>
        <v>-</v>
      </c>
      <c r="T16" s="123">
        <f ca="1">OFFSET(CÁLCULO!H$15,ROW($T16)-ROW(T$15),0)</f>
        <v>0</v>
      </c>
      <c r="U16" s="124"/>
      <c r="V16" s="125" t="s">
        <v>665</v>
      </c>
      <c r="W16" s="123">
        <f ca="1">IF($C16="S",ROUND(IF(TIPOORCAMENTO="Proposto",ORÇAMENTO.CustoUnitario*(1+$AH16),ORÇAMENTO.PrecoUnitarioLicitado),15-13*$AF$10),0)</f>
        <v>0</v>
      </c>
      <c r="X16" s="126" cm="1">
        <f t="array" aca="1" ref="X16" ca="1">IF($C16="S",IF(OR(Import.TipoArredondamento&lt;&gt;"TransfereGOV",ACOMPANHAMENTO="BM"),VTOTAL1,SUM(OFFSET(CÁLCULO!$AA$15,ROW($X16)-ROW($X$15),1):OFFSET(CÁLCULO!$AL$15,ROW($X16)-ROW($X$15),-1))),IF($C16=0,0,ROUND(SomaAgrup,15-13*$AF$11)))</f>
        <v>0</v>
      </c>
      <c r="Y16" s="127" t="s">
        <v>754</v>
      </c>
      <c r="Z16" t="str">
        <f t="shared" ref="Z16:Z26" ca="1" si="13">IF(AND($C16="S",$X16&gt;0),IF(ISBLANK($Y16),"RA",LEFT($Y16,2)),"")</f>
        <v/>
      </c>
      <c r="AA16" s="128">
        <f ca="1">IF($C16="S",IF($Z16="CP",$X16,IF($Z16="RA",(($X16)*QCI!$AA$3),0)),SomaAgrup)</f>
        <v>0</v>
      </c>
      <c r="AB16" s="129">
        <f t="shared" ref="AB16:AB26" ca="1" si="14">IF($C16="S",IF($Z16="OU",ROUND($X16,2),0),SomaAgrup)</f>
        <v>0</v>
      </c>
      <c r="AC16" s="571" t="str">
        <f ca="1">IF($N16=""," ",
IF(AND($C16&lt;&gt;"S",OR($R16="",$R16="(digite a descrição aqui)")),"DESCRIÇÃO",
IF(AND($C16="S",OR($Q16&lt;&gt;0,$T16&gt;0,$U16&gt;0),$P16=0),"FONTE",
IF(AND($C16="S",$P16&lt;&gt;0,OR($T16&gt;0,$U16&gt;0),$Q16=0),"CÓDIGO",
IF(AND($C16="S",$P16&lt;&gt;0,$Q16&lt;&gt;0,$R16="(Código não identificado nas referências)"),"CÓDIGO N/ID",
IF(AND($C16="S",OR($R16="",$R16="(digite a descrição aqui)"),OR($Q16&lt;&gt;0,$T16&gt;0,$U16&gt;0)),"DESCRIÇÃO",
IF(AND($C16="S",$P16&lt;&gt;0,$Q16&lt;&gt;0,$S16=""),"UNIDADE",
IF(AND($C16="S",$P16&lt;&gt;0,$Q16&lt;&gt;0,$U16=0),"SEM CUSTO",
IF(AND(TIPOORCAMENTO="Licitado",$AL16=0,$AN16&gt;0),"SEM PREÇO",
IF(AND($C16="S",$P16&lt;&gt;0,$Q16&lt;&gt;0,$U16&gt;0,$V16=0),"BDI",
IF(OR(AND(TIPOORCAMENTO="Proposto",$AG16&lt;&gt;"",$AG16&gt;0,ORÇAMENTO.CustoUnitario&gt;$AG16),AND(TIPOORCAMENTO="LICITADO",ORÇAMENTO.PrecoUnitarioLicitado&gt;$AN16)),"ACIMA REF.",
IF(AND($C16="S",$P16&lt;&gt;0,$Q16&lt;&gt;0,$T16=0,$U16&gt;0),"QUANT.",
IF(AND(Import.TipoArredondamento="TransfereGOV",$L16="F",$C16="S",LEN($Q16)&gt;13),"Código &gt;13",
IF(AND(Import.TipoArredondamento="TransfereGOV",$L16="F",$C16&lt;&gt;"S",LEN($R16)&gt;100),"Descrição &gt;100",
IF(AND(Import.TipoArredondamento="TransfereGOV",$L16="F",$C16="S",LEN($R16)&gt;500),"Descrição &gt;500",
IF(AND(Import.TipoArredondamento="TransfereGOV",$L16="F",$C16="S",LEFT(TRIM(UPPER($P16)),6)&lt;&gt;"SINAPI",ISNA(VLOOKUP(TRIM(UPPER($S16)),ListaTgov.Unidades,1,FALSE))),"Unid. Não Disp",
" "))))))))))))))))</f>
        <v xml:space="preserve"> </v>
      </c>
      <c r="AD16">
        <f ca="1">IF(C16&lt;=CRONO.NivelExibicao,MAX($AD$15:OFFSET(AD16,-1,0))+IF($C16&lt;&gt;1,1,MAX(1,COUNTIF(QCI!$A$13:$A$24,OFFSET($E16,-1,0)))),"")</f>
        <v>1</v>
      </c>
      <c r="AE16" s="7" t="b">
        <f ca="1">IF(AND($C16="S",ORÇAMENTO.CodBarra&lt;&gt;""),IF(ORÇAMENTO.Fonte="",ORÇAMENTO.CodBarra,CONCATENATE(ORÇAMENTO.Fonte," ",ORÇAMENTO.CodBarra)))</f>
        <v>0</v>
      </c>
      <c r="AF16" s="12" t="str">
        <f ca="1">IF(ISERROR(INDIRECT(ORÇAMENTO.BancoRef)),"(abra o arquivo 'Referência "&amp;Excel_BuiltIn_Database&amp;".xlsm)",IF(OR($C16&lt;&gt;"S",ORÇAMENTO.CodBarra=""),"(Sem Código)",IF(ISERROR(MATCH($AE16,INDIRECT(ORÇAMENTO.BancoRef),0)),"(Código não identificado nas referências)",MATCH($AE16,INDIRECT(ORÇAMENTO.BancoRef),0))))</f>
        <v>(abra o arquivo 'Referência 03-2025.xlsm)</v>
      </c>
      <c r="AG16" s="429">
        <f ca="1">ROUND(IF(DESONERACAO="sim",REFERENCIA.Desonerado,REFERENCIA.NaoDesonerado),2)</f>
        <v>0</v>
      </c>
      <c r="AH16" s="430">
        <f t="shared" ref="AH16:AH26" ca="1" si="15">ROUND(IF(ISNUMBER(ORÇAMENTO.OpcaoBDI),ORÇAMENTO.OpcaoBDI,IF(LEFT(ORÇAMENTO.OpcaoBDI,3)="BDI",HLOOKUP(ORÇAMENTO.OpcaoBDI,$F$4:$H$5,2,FALSE),0)),15-11*$AF$9)</f>
        <v>0.2354</v>
      </c>
      <c r="AJ16" s="432"/>
      <c r="AL16" s="440"/>
      <c r="AM16" s="337">
        <f t="shared" ca="1" si="0"/>
        <v>0</v>
      </c>
      <c r="AN16" s="471">
        <f t="shared" ref="AN16:AN26" ca="1" si="16">ROUND(ORÇAMENTO.CustoUnitario*(1+$AH16),2)</f>
        <v>0</v>
      </c>
    </row>
    <row r="17" spans="1:40" x14ac:dyDescent="0.2">
      <c r="A17">
        <f t="shared" si="1"/>
        <v>2</v>
      </c>
      <c r="B17">
        <f t="shared" ca="1" si="2"/>
        <v>2</v>
      </c>
      <c r="C17">
        <f t="shared" ca="1" si="3"/>
        <v>2</v>
      </c>
      <c r="D17">
        <f t="shared" ca="1" si="4"/>
        <v>4</v>
      </c>
      <c r="E17">
        <f ca="1">IF($C17=1,OFFSET(E17,-1,0)+MAX(1,COUNTIF(QCI!$A$13:$A$24,OFFSET(ORÇAMENTO!E17,-1,0))),OFFSET(E17,-1,0))</f>
        <v>1</v>
      </c>
      <c r="F17">
        <f t="shared" ca="1" si="5"/>
        <v>1</v>
      </c>
      <c r="G17">
        <f t="shared" ca="1" si="6"/>
        <v>0</v>
      </c>
      <c r="H17">
        <f t="shared" ca="1" si="7"/>
        <v>0</v>
      </c>
      <c r="I17">
        <f t="shared" ca="1" si="8"/>
        <v>0</v>
      </c>
      <c r="J17">
        <f t="shared" ca="1" si="9"/>
        <v>10</v>
      </c>
      <c r="K17">
        <f ca="1">IF(OR($C17="S",$C17=0),0,MATCH(OFFSET($D17,0,$C17)+IF($C17&lt;&gt;1,1,COUNTIF(QCI!$A$13:$A$24,ORÇAMENTO!E17)),OFFSET($D17,1,$C17,ROW($C$27)-ROW($C17)),0))</f>
        <v>4</v>
      </c>
      <c r="L17" s="115" t="str">
        <f t="shared" ca="1" si="10"/>
        <v>F</v>
      </c>
      <c r="M17" s="116" t="s">
        <v>705</v>
      </c>
      <c r="N17" s="117" t="str">
        <f t="shared" ca="1" si="11"/>
        <v>Nível 2</v>
      </c>
      <c r="O17" s="118" t="str">
        <f t="shared" ca="1" si="12"/>
        <v>1.1.</v>
      </c>
      <c r="P17" s="119" t="s">
        <v>753</v>
      </c>
      <c r="Q17" s="120"/>
      <c r="R17" s="121" t="s">
        <v>938</v>
      </c>
      <c r="S17" s="122" t="str">
        <f ca="1">REFERENCIA.Unidade</f>
        <v>-</v>
      </c>
      <c r="T17" s="123">
        <f ca="1">OFFSET(CÁLCULO!H$15,ROW($T17)-ROW(T$15),0)</f>
        <v>0</v>
      </c>
      <c r="U17" s="124"/>
      <c r="V17" s="125" t="s">
        <v>665</v>
      </c>
      <c r="W17" s="123">
        <f ca="1">IF($C17="S",ROUND(IF(TIPOORCAMENTO="Proposto",ORÇAMENTO.CustoUnitario*(1+$AH17),ORÇAMENTO.PrecoUnitarioLicitado),15-13*$AF$10),0)</f>
        <v>0</v>
      </c>
      <c r="X17" s="126" cm="1">
        <f t="array" aca="1" ref="X17" ca="1">IF($C17="S",IF(OR(Import.TipoArredondamento&lt;&gt;"TransfereGOV",ACOMPANHAMENTO="BM"),VTOTAL1,SUM(OFFSET(CÁLCULO!$AA$15,ROW($X17)-ROW($X$15),1):OFFSET(CÁLCULO!$AL$15,ROW($X17)-ROW($X$15),-1))),IF($C17=0,0,ROUND(SomaAgrup,15-13*$AF$11)))</f>
        <v>0</v>
      </c>
      <c r="Y17" s="127" t="s">
        <v>754</v>
      </c>
      <c r="Z17" t="str">
        <f t="shared" ca="1" si="13"/>
        <v/>
      </c>
      <c r="AA17" s="128">
        <f ca="1">IF($C17="S",IF($Z17="CP",$X17,IF($Z17="RA",(($X17)*QCI!$AA$3),0)),SomaAgrup)</f>
        <v>0</v>
      </c>
      <c r="AB17" s="129">
        <f t="shared" ca="1" si="14"/>
        <v>0</v>
      </c>
      <c r="AC17" s="571" t="str">
        <f ca="1">IF($N17=""," ",
IF(AND($C17&lt;&gt;"S",OR($R17="",$R17="(digite a descrição aqui)")),"DESCRIÇÃO",
IF(AND($C17="S",OR($Q17&lt;&gt;0,$T17&gt;0,$U17&gt;0),$P17=0),"FONTE",
IF(AND($C17="S",$P17&lt;&gt;0,OR($T17&gt;0,$U17&gt;0),$Q17=0),"CÓDIGO",
IF(AND($C17="S",$P17&lt;&gt;0,$Q17&lt;&gt;0,$R17="(Código não identificado nas referências)"),"CÓDIGO N/ID",
IF(AND($C17="S",OR($R17="",$R17="(digite a descrição aqui)"),OR($Q17&lt;&gt;0,$T17&gt;0,$U17&gt;0)),"DESCRIÇÃO",
IF(AND($C17="S",$P17&lt;&gt;0,$Q17&lt;&gt;0,$S17=""),"UNIDADE",
IF(AND($C17="S",$P17&lt;&gt;0,$Q17&lt;&gt;0,$U17=0),"SEM CUSTO",
IF(AND(TIPOORCAMENTO="Licitado",$AL17=0,$AN17&gt;0),"SEM PREÇO",
IF(AND($C17="S",$P17&lt;&gt;0,$Q17&lt;&gt;0,$U17&gt;0,$V17=0),"BDI",
IF(OR(AND(TIPOORCAMENTO="Proposto",$AG17&lt;&gt;"",$AG17&gt;0,ORÇAMENTO.CustoUnitario&gt;$AG17),AND(TIPOORCAMENTO="LICITADO",ORÇAMENTO.PrecoUnitarioLicitado&gt;$AN17)),"ACIMA REF.",
IF(AND($C17="S",$P17&lt;&gt;0,$Q17&lt;&gt;0,$T17=0,$U17&gt;0),"QUANT.",
IF(AND(Import.TipoArredondamento="TransfereGOV",$L17="F",$C17="S",LEN($Q17)&gt;13),"Código &gt;13",
IF(AND(Import.TipoArredondamento="TransfereGOV",$L17="F",$C17&lt;&gt;"S",LEN($R17)&gt;100),"Descrição &gt;100",
IF(AND(Import.TipoArredondamento="TransfereGOV",$L17="F",$C17="S",LEN($R17)&gt;500),"Descrição &gt;500",
IF(AND(Import.TipoArredondamento="TransfereGOV",$L17="F",$C17="S",LEFT(TRIM(UPPER($P17)),6)&lt;&gt;"SINAPI",ISNA(VLOOKUP(TRIM(UPPER($S17)),ListaTgov.Unidades,1,FALSE))),"Unid. Não Disp",
" "))))))))))))))))</f>
        <v xml:space="preserve"> </v>
      </c>
      <c r="AD17">
        <f ca="1">IF(C17&lt;=CRONO.NivelExibicao,MAX($AD$15:OFFSET(AD17,-1,0))+IF($C17&lt;&gt;1,1,MAX(1,COUNTIF(QCI!$A$13:$A$24,OFFSET($E17,-1,0)))),"")</f>
        <v>2</v>
      </c>
      <c r="AE17" s="7" t="b">
        <f ca="1">IF(AND($C17="S",ORÇAMENTO.CodBarra&lt;&gt;""),IF(ORÇAMENTO.Fonte="",ORÇAMENTO.CodBarra,CONCATENATE(ORÇAMENTO.Fonte," ",ORÇAMENTO.CodBarra)))</f>
        <v>0</v>
      </c>
      <c r="AF17" s="12" t="str">
        <f ca="1">IF(ISERROR(INDIRECT(ORÇAMENTO.BancoRef)),"(abra o arquivo 'Referência "&amp;Excel_BuiltIn_Database&amp;".xlsm)",IF(OR($C17&lt;&gt;"S",ORÇAMENTO.CodBarra=""),"(Sem Código)",IF(ISERROR(MATCH($AE17,INDIRECT(ORÇAMENTO.BancoRef),0)),"(Código não identificado nas referências)",MATCH($AE17,INDIRECT(ORÇAMENTO.BancoRef),0))))</f>
        <v>(abra o arquivo 'Referência 03-2025.xlsm)</v>
      </c>
      <c r="AG17" s="429">
        <f ca="1">ROUND(IF(DESONERACAO="sim",REFERENCIA.Desonerado,REFERENCIA.NaoDesonerado),2)</f>
        <v>0</v>
      </c>
      <c r="AH17" s="430">
        <f t="shared" ca="1" si="15"/>
        <v>0.2354</v>
      </c>
      <c r="AJ17" s="432"/>
      <c r="AL17" s="440"/>
      <c r="AM17" s="337">
        <f t="shared" ca="1" si="0"/>
        <v>0</v>
      </c>
      <c r="AN17" s="471">
        <f t="shared" ca="1" si="16"/>
        <v>0</v>
      </c>
    </row>
    <row r="18" spans="1:40" s="662" customFormat="1" x14ac:dyDescent="0.2">
      <c r="A18" s="662" t="str">
        <f t="shared" si="1"/>
        <v>S</v>
      </c>
      <c r="B18" s="662">
        <f t="shared" ca="1" si="2"/>
        <v>2</v>
      </c>
      <c r="C18" s="662" t="str">
        <f t="shared" ca="1" si="3"/>
        <v>S</v>
      </c>
      <c r="D18" s="662">
        <f t="shared" ca="1" si="4"/>
        <v>0</v>
      </c>
      <c r="E18" s="662">
        <f ca="1">IF($C18=1,OFFSET(E18,-1,0)+MAX(1,COUNTIF(QCI!$A$13:$A$24,OFFSET(ORÇAMENTO!E18,-1,0))),OFFSET(E18,-1,0))</f>
        <v>1</v>
      </c>
      <c r="F18" s="662">
        <f t="shared" ca="1" si="5"/>
        <v>1</v>
      </c>
      <c r="G18" s="662">
        <f t="shared" ca="1" si="6"/>
        <v>0</v>
      </c>
      <c r="H18" s="662">
        <f t="shared" ca="1" si="7"/>
        <v>0</v>
      </c>
      <c r="I18" s="662">
        <f t="shared" ca="1" si="8"/>
        <v>0</v>
      </c>
      <c r="J18" s="662">
        <f t="shared" ca="1" si="9"/>
        <v>0</v>
      </c>
      <c r="K18" s="662">
        <f ca="1">IF(OR($C18="S",$C18=0),0,MATCH(OFFSET($D18,0,$C18)+IF($C18&lt;&gt;1,1,COUNTIF(QCI!$A$13:$A$24,ORÇAMENTO!E18)),OFFSET($D18,1,$C18,ROW($C$27)-ROW($C18)),0))</f>
        <v>0</v>
      </c>
      <c r="L18" s="115" t="str">
        <f t="shared" ca="1" si="10"/>
        <v/>
      </c>
      <c r="M18" s="116" t="s">
        <v>708</v>
      </c>
      <c r="N18" s="117" t="str">
        <f t="shared" ca="1" si="11"/>
        <v>Serviço</v>
      </c>
      <c r="O18" s="118" t="str">
        <f t="shared" ca="1" si="12"/>
        <v>-</v>
      </c>
      <c r="P18" s="119" t="s">
        <v>753</v>
      </c>
      <c r="Q18" s="120" t="s">
        <v>946</v>
      </c>
      <c r="R18" s="121" t="str">
        <f ca="1">IF($C18="S",REFERENCIA.Descricao,"(digite a descrição aqui)")</f>
        <v>(abra o arquivo 'Referência 03-2025.xlsm)</v>
      </c>
      <c r="S18" s="122" t="str">
        <f ca="1">REFERENCIA.Unidade</f>
        <v>-</v>
      </c>
      <c r="T18" s="123">
        <f ca="1">OFFSET(CÁLCULO!H$15,ROW($T18)-ROW(T$15),0)</f>
        <v>6</v>
      </c>
      <c r="U18" s="124">
        <f t="shared" ref="U18:U20" ca="1" si="17">AG18</f>
        <v>0</v>
      </c>
      <c r="V18" s="125" t="s">
        <v>665</v>
      </c>
      <c r="W18" s="123">
        <f ca="1">IF($C18="S",ROUND(IF(TIPOORCAMENTO="Proposto",ORÇAMENTO.CustoUnitario*(1+$AH18),ORÇAMENTO.PrecoUnitarioLicitado),15-13*$AF$10),0)</f>
        <v>0</v>
      </c>
      <c r="X18" s="126" cm="1">
        <f t="array" aca="1" ref="X18" ca="1">IF($C18="S",IF(OR(Import.TipoArredondamento&lt;&gt;"TransfereGOV",ACOMPANHAMENTO="BM"),VTOTAL1,SUM(OFFSET(CÁLCULO!$AA$15,ROW($X18)-ROW($X$15),1):OFFSET(CÁLCULO!$AL$15,ROW($X18)-ROW($X$15),-1))),IF($C18=0,0,ROUND(SomaAgrup,15-13*$AF$11)))</f>
        <v>0</v>
      </c>
      <c r="Y18" s="127" t="s">
        <v>754</v>
      </c>
      <c r="Z18" s="662" t="str">
        <f t="shared" ca="1" si="13"/>
        <v/>
      </c>
      <c r="AA18" s="128">
        <f ca="1">IF($C18="S",IF($Z18="CP",$X18,IF($Z18="RA",(($X18)*QCI!$AA$3),0)),SomaAgrup)</f>
        <v>0</v>
      </c>
      <c r="AB18" s="129">
        <f t="shared" ca="1" si="14"/>
        <v>0</v>
      </c>
      <c r="AC18" s="571" t="str">
        <f ca="1">IF($N18=""," ",
IF(AND($C18&lt;&gt;"S",OR($R18="",$R18="(digite a descrição aqui)")),"DESCRIÇÃO",
IF(AND($C18="S",OR($Q18&lt;&gt;0,$T18&gt;0,$U18&gt;0),$P18=0),"FONTE",
IF(AND($C18="S",$P18&lt;&gt;0,OR($T18&gt;0,$U18&gt;0),$Q18=0),"CÓDIGO",
IF(AND($C18="S",$P18&lt;&gt;0,$Q18&lt;&gt;0,$R18="(Código não identificado nas referências)"),"CÓDIGO N/ID",
IF(AND($C18="S",OR($R18="",$R18="(digite a descrição aqui)"),OR($Q18&lt;&gt;0,$T18&gt;0,$U18&gt;0)),"DESCRIÇÃO",
IF(AND($C18="S",$P18&lt;&gt;0,$Q18&lt;&gt;0,$S18=""),"UNIDADE",
IF(AND($C18="S",$P18&lt;&gt;0,$Q18&lt;&gt;0,$U18=0),"SEM CUSTO",
IF(AND(TIPOORCAMENTO="Licitado",$AL18=0,$AN18&gt;0),"SEM PREÇO",
IF(AND($C18="S",$P18&lt;&gt;0,$Q18&lt;&gt;0,$U18&gt;0,$V18=0),"BDI",
IF(OR(AND(TIPOORCAMENTO="Proposto",$AG18&lt;&gt;"",$AG18&gt;0,ORÇAMENTO.CustoUnitario&gt;$AG18),AND(TIPOORCAMENTO="LICITADO",ORÇAMENTO.PrecoUnitarioLicitado&gt;$AN18)),"ACIMA REF.",
IF(AND($C18="S",$P18&lt;&gt;0,$Q18&lt;&gt;0,$T18=0,$U18&gt;0),"QUANT.",
IF(AND(Import.TipoArredondamento="TransfereGOV",$L18="F",$C18="S",LEN($Q18)&gt;13),"Código &gt;13",
IF(AND(Import.TipoArredondamento="TransfereGOV",$L18="F",$C18&lt;&gt;"S",LEN($R18)&gt;100),"Descrição &gt;100",
IF(AND(Import.TipoArredondamento="TransfereGOV",$L18="F",$C18="S",LEN($R18)&gt;500),"Descrição &gt;500",
IF(AND(Import.TipoArredondamento="TransfereGOV",$L18="F",$C18="S",LEFT(TRIM(UPPER($P18)),6)&lt;&gt;"SINAPI",ISNA(VLOOKUP(TRIM(UPPER($S18)),ListaTgov.Unidades,1,FALSE))),"Unid. Não Disp",
" "))))))))))))))))</f>
        <v>SEM CUSTO</v>
      </c>
      <c r="AD18" s="662" t="str">
        <f ca="1">IF(C18&lt;=CRONO.NivelExibicao,MAX($AD$15:OFFSET(AD18,-1,0))+IF($C18&lt;&gt;1,1,MAX(1,COUNTIF(QCI!$A$13:$A$24,OFFSET($E18,-1,0)))),"")</f>
        <v/>
      </c>
      <c r="AE18" s="660" t="str">
        <f ca="1">IF(AND($C18="S",ORÇAMENTO.CodBarra&lt;&gt;""),IF(ORÇAMENTO.Fonte="",ORÇAMENTO.CodBarra,CONCATENATE(ORÇAMENTO.Fonte," ",ORÇAMENTO.CodBarra)))</f>
        <v>SINAPI 93358</v>
      </c>
      <c r="AF18" s="661" t="str">
        <f ca="1">IF(ISERROR(INDIRECT(ORÇAMENTO.BancoRef)),"(abra o arquivo 'Referência "&amp;Excel_BuiltIn_Database&amp;".xlsm)",IF(OR($C18&lt;&gt;"S",ORÇAMENTO.CodBarra=""),"(Sem Código)",IF(ISERROR(MATCH($AE18,INDIRECT(ORÇAMENTO.BancoRef),0)),"(Código não identificado nas referências)",MATCH($AE18,INDIRECT(ORÇAMENTO.BancoRef),0))))</f>
        <v>(abra o arquivo 'Referência 03-2025.xlsm)</v>
      </c>
      <c r="AG18" s="429">
        <f ca="1">ROUND(IF(DESONERACAO="sim",REFERENCIA.Desonerado,REFERENCIA.NaoDesonerado),2)</f>
        <v>0</v>
      </c>
      <c r="AH18" s="430">
        <f t="shared" ca="1" si="15"/>
        <v>0.2354</v>
      </c>
      <c r="AJ18" s="432">
        <f>1*1*6</f>
        <v>6</v>
      </c>
      <c r="AL18" s="440"/>
      <c r="AM18" s="337">
        <f t="shared" ca="1" si="0"/>
        <v>0</v>
      </c>
      <c r="AN18" s="471">
        <f t="shared" ca="1" si="16"/>
        <v>0</v>
      </c>
    </row>
    <row r="19" spans="1:40" s="662" customFormat="1" ht="25.5" x14ac:dyDescent="0.2">
      <c r="A19" s="662" t="str">
        <f>CHOOSE(1+LOG(1+2*(ORÇAMENTO.Nivel="Meta")+4*(ORÇAMENTO.Nivel="Nível 2")+8*(ORÇAMENTO.Nivel="Nível 3")+16*(ORÇAMENTO.Nivel="Nível 4")+32*(ORÇAMENTO.Nivel="Serviço"),2),0,1,2,3,4,"S")</f>
        <v>S</v>
      </c>
      <c r="B19" s="662">
        <f ca="1">IF(OR(C19="s",C19=0),OFFSET(B19,-1,0),C19)</f>
        <v>2</v>
      </c>
      <c r="C19" s="662" t="str">
        <f ca="1">IF(OFFSET(C19,-1,0)="L",1,IF(OFFSET(C19,-1,0)=1,2,IF(OR(A19="s",A19=0),"S",IF(AND(OFFSET(C19,-1,0)=2,A19=4),3,IF(AND(OR(OFFSET(C19,-1,0)="s",OFFSET(C19,-1,0)=0),A19&lt;&gt;"s",A19&gt;OFFSET(B19,-1,0)),OFFSET(B19,-1,0),A19)))))</f>
        <v>S</v>
      </c>
      <c r="D19" s="662">
        <f ca="1">IF(OR(C19="S",C19=0),0,IF(ISERROR(K19),J19,SMALL(J19:K19,1)))</f>
        <v>0</v>
      </c>
      <c r="E19" s="662">
        <f ca="1">IF($C19=1,OFFSET(E19,-1,0)+MAX(1,COUNTIF(QCI!$A$13:$A$24,OFFSET(ORÇAMENTO!E19,-1,0))),OFFSET(E19,-1,0))</f>
        <v>1</v>
      </c>
      <c r="F19" s="662">
        <f ca="1">IF($C19=1,0,IF($C19=2,OFFSET(F19,-1,0)+1,OFFSET(F19,-1,0)))</f>
        <v>1</v>
      </c>
      <c r="G19" s="662">
        <f ca="1">IF(AND($C19&lt;=2,$C19&lt;&gt;0),0,IF($C19=3,OFFSET(G19,-1,0)+1,OFFSET(G19,-1,0)))</f>
        <v>0</v>
      </c>
      <c r="H19" s="662">
        <f ca="1">IF(AND($C19&lt;=3,$C19&lt;&gt;0),0,IF($C19=4,OFFSET(H19,-1,0)+1,OFFSET(H19,-1,0)))</f>
        <v>0</v>
      </c>
      <c r="I19" s="662">
        <f ca="1">IF(AND($C19&lt;=4,$C19&lt;&gt;0),0,IF(AND($C19="S",$X19&gt;0),OFFSET(I19,-1,0)+1,OFFSET(I19,-1,0)))</f>
        <v>0</v>
      </c>
      <c r="J19" s="662">
        <f t="shared" ca="1" si="9"/>
        <v>0</v>
      </c>
      <c r="K19" s="662">
        <f ca="1">IF(OR($C19="S",$C19=0),0,MATCH(OFFSET($D19,0,$C19)+IF($C19&lt;&gt;1,1,COUNTIF(QCI!$A$13:$A$24,ORÇAMENTO!E19)),OFFSET($D19,1,$C19,ROW($C$27)-ROW($C19)),0))</f>
        <v>0</v>
      </c>
      <c r="L19" s="115" t="str">
        <f ca="1">IF(OR($X19&gt;0,$C19=1,$C19=2,$C19=3,$C19=4),"F","")</f>
        <v/>
      </c>
      <c r="M19" s="116" t="s">
        <v>708</v>
      </c>
      <c r="N19" s="117" t="str">
        <f ca="1">CHOOSE(1+LOG(1+2*(C19=1)+4*(C19=2)+8*(C19=3)+16*(C19=4)+32*(C19="S"),2),"","Meta","Nível 2","Nível 3","Nível 4","Serviço")</f>
        <v>Serviço</v>
      </c>
      <c r="O19" s="118" t="str">
        <f ca="1">IF(OR($C19=0,$L19=""),"-",CONCATENATE(E19&amp;".",IF(AND($A$5&gt;=2,$C19&gt;=2),F19&amp;".",""),IF(AND($A$5&gt;=3,$C19&gt;=3),G19&amp;".",""),IF(AND($A$5&gt;=4,$C19&gt;=4),H19&amp;".",""),IF($C19="S",I19&amp;".","")))</f>
        <v>-</v>
      </c>
      <c r="P19" s="119" t="s">
        <v>753</v>
      </c>
      <c r="Q19" s="120" t="s">
        <v>947</v>
      </c>
      <c r="R19" s="121" t="str">
        <f ca="1">IF($C19="S",REFERENCIA.Descricao,"(digite a descrição aqui)")</f>
        <v>(abra o arquivo 'Referência 03-2025.xlsm)</v>
      </c>
      <c r="S19" s="122" t="str">
        <f ca="1">REFERENCIA.Unidade</f>
        <v>-</v>
      </c>
      <c r="T19" s="123">
        <f ca="1">OFFSET(CÁLCULO!H$15,ROW($T19)-ROW(T$15),0)</f>
        <v>3.84</v>
      </c>
      <c r="U19" s="124">
        <f t="shared" ca="1" si="17"/>
        <v>0</v>
      </c>
      <c r="V19" s="125" t="s">
        <v>665</v>
      </c>
      <c r="W19" s="123">
        <f ca="1">IF($C19="S",ROUND(IF(TIPOORCAMENTO="Proposto",ORÇAMENTO.CustoUnitario*(1+$AH19),ORÇAMENTO.PrecoUnitarioLicitado),15-13*$AF$10),0)</f>
        <v>0</v>
      </c>
      <c r="X19" s="126" cm="1">
        <f t="array" aca="1" ref="X19" ca="1">IF($C19="S",IF(OR(Import.TipoArredondamento&lt;&gt;"TransfereGOV",ACOMPANHAMENTO="BM"),VTOTAL1,SUM(OFFSET(CÁLCULO!$AA$15,ROW($X19)-ROW($X$15),1):OFFSET(CÁLCULO!$AL$15,ROW($X19)-ROW($X$15),-1))),IF($C19=0,0,ROUND(SomaAgrup,15-13*$AF$11)))</f>
        <v>0</v>
      </c>
      <c r="Y19" s="127" t="s">
        <v>754</v>
      </c>
      <c r="Z19" s="662" t="str">
        <f ca="1">IF(AND($C19="S",$X19&gt;0),IF(ISBLANK($Y19),"RA",LEFT($Y19,2)),"")</f>
        <v/>
      </c>
      <c r="AA19" s="128">
        <f ca="1">IF($C19="S",IF($Z19="CP",$X19,IF($Z19="RA",(($X19)*QCI!$AA$3),0)),SomaAgrup)</f>
        <v>0</v>
      </c>
      <c r="AB19" s="129">
        <f ca="1">IF($C19="S",IF($Z19="OU",ROUND($X19,2),0),SomaAgrup)</f>
        <v>0</v>
      </c>
      <c r="AC19" s="571" t="str">
        <f ca="1">IF($N19=""," ",
IF(AND($C19&lt;&gt;"S",OR($R19="",$R19="(digite a descrição aqui)")),"DESCRIÇÃO",
IF(AND($C19="S",OR($Q19&lt;&gt;0,$T19&gt;0,$U19&gt;0),$P19=0),"FONTE",
IF(AND($C19="S",$P19&lt;&gt;0,OR($T19&gt;0,$U19&gt;0),$Q19=0),"CÓDIGO",
IF(AND($C19="S",$P19&lt;&gt;0,$Q19&lt;&gt;0,$R19="(Código não identificado nas referências)"),"CÓDIGO N/ID",
IF(AND($C19="S",OR($R19="",$R19="(digite a descrição aqui)"),OR($Q19&lt;&gt;0,$T19&gt;0,$U19&gt;0)),"DESCRIÇÃO",
IF(AND($C19="S",$P19&lt;&gt;0,$Q19&lt;&gt;0,$S19=""),"UNIDADE",
IF(AND($C19="S",$P19&lt;&gt;0,$Q19&lt;&gt;0,$U19=0),"SEM CUSTO",
IF(AND(TIPOORCAMENTO="Licitado",$AL19=0,$AN19&gt;0),"SEM PREÇO",
IF(AND($C19="S",$P19&lt;&gt;0,$Q19&lt;&gt;0,$U19&gt;0,$V19=0),"BDI",
IF(OR(AND(TIPOORCAMENTO="Proposto",$AG19&lt;&gt;"",$AG19&gt;0,ORÇAMENTO.CustoUnitario&gt;$AG19),AND(TIPOORCAMENTO="LICITADO",ORÇAMENTO.PrecoUnitarioLicitado&gt;$AN19)),"ACIMA REF.",
IF(AND($C19="S",$P19&lt;&gt;0,$Q19&lt;&gt;0,$T19=0,$U19&gt;0),"QUANT.",
IF(AND(Import.TipoArredondamento="TransfereGOV",$L19="F",$C19="S",LEN($Q19)&gt;13),"Código &gt;13",
IF(AND(Import.TipoArredondamento="TransfereGOV",$L19="F",$C19&lt;&gt;"S",LEN($R19)&gt;100),"Descrição &gt;100",
IF(AND(Import.TipoArredondamento="TransfereGOV",$L19="F",$C19="S",LEN($R19)&gt;500),"Descrição &gt;500",
IF(AND(Import.TipoArredondamento="TransfereGOV",$L19="F",$C19="S",LEFT(TRIM(UPPER($P19)),6)&lt;&gt;"SINAPI",ISNA(VLOOKUP(TRIM(UPPER($S19)),ListaTgov.Unidades,1,FALSE))),"Unid. Não Disp",
" "))))))))))))))))</f>
        <v>SEM CUSTO</v>
      </c>
      <c r="AD19" s="662" t="str">
        <f ca="1">IF(C19&lt;=CRONO.NivelExibicao,MAX($AD$15:OFFSET(AD19,-1,0))+IF($C19&lt;&gt;1,1,MAX(1,COUNTIF(QCI!$A$13:$A$24,OFFSET($E19,-1,0)))),"")</f>
        <v/>
      </c>
      <c r="AE19" s="660" t="str">
        <f ca="1">IF(AND($C19="S",ORÇAMENTO.CodBarra&lt;&gt;""),IF(ORÇAMENTO.Fonte="",ORÇAMENTO.CodBarra,CONCATENATE(ORÇAMENTO.Fonte," ",ORÇAMENTO.CodBarra)))</f>
        <v>SINAPI 93382</v>
      </c>
      <c r="AF19" s="661" t="str">
        <f ca="1">IF(ISERROR(INDIRECT(ORÇAMENTO.BancoRef)),"(abra o arquivo 'Referência "&amp;Excel_BuiltIn_Database&amp;".xlsm)",IF(OR($C19&lt;&gt;"S",ORÇAMENTO.CodBarra=""),"(Sem Código)",IF(ISERROR(MATCH($AE19,INDIRECT(ORÇAMENTO.BancoRef),0)),"(Código não identificado nas referências)",MATCH($AE19,INDIRECT(ORÇAMENTO.BancoRef),0))))</f>
        <v>(abra o arquivo 'Referência 03-2025.xlsm)</v>
      </c>
      <c r="AG19" s="429">
        <f ca="1">ROUND(IF(DESONERACAO="sim",REFERENCIA.Desonerado,REFERENCIA.NaoDesonerado),2)</f>
        <v>0</v>
      </c>
      <c r="AH19" s="430">
        <f ca="1">ROUND(IF(ISNUMBER(ORÇAMENTO.OpcaoBDI),ORÇAMENTO.OpcaoBDI,IF(LEFT(ORÇAMENTO.OpcaoBDI,3)="BDI",HLOOKUP(ORÇAMENTO.OpcaoBDI,$F$4:$H$5,2,FALSE),0)),15-11*$AF$9)</f>
        <v>0.2354</v>
      </c>
      <c r="AJ19" s="432">
        <v>3.84</v>
      </c>
      <c r="AL19" s="440"/>
      <c r="AM19" s="337">
        <f t="shared" ca="1" si="0"/>
        <v>0</v>
      </c>
      <c r="AN19" s="471">
        <f ca="1">ROUND(ORÇAMENTO.CustoUnitario*(1+$AH19),2)</f>
        <v>0</v>
      </c>
    </row>
    <row r="20" spans="1:40" s="662" customFormat="1" x14ac:dyDescent="0.2">
      <c r="A20" s="662" t="str">
        <f t="shared" si="1"/>
        <v>S</v>
      </c>
      <c r="B20" s="662">
        <f t="shared" ca="1" si="2"/>
        <v>2</v>
      </c>
      <c r="C20" s="662" t="str">
        <f t="shared" ca="1" si="3"/>
        <v>S</v>
      </c>
      <c r="D20" s="662">
        <f t="shared" ca="1" si="4"/>
        <v>0</v>
      </c>
      <c r="E20" s="662">
        <f ca="1">IF($C20=1,OFFSET(E20,-1,0)+MAX(1,COUNTIF(QCI!$A$13:$A$24,OFFSET(ORÇAMENTO!E20,-1,0))),OFFSET(E20,-1,0))</f>
        <v>1</v>
      </c>
      <c r="F20" s="662">
        <f t="shared" ca="1" si="5"/>
        <v>1</v>
      </c>
      <c r="G20" s="662">
        <f t="shared" ca="1" si="6"/>
        <v>0</v>
      </c>
      <c r="H20" s="662">
        <f t="shared" ca="1" si="7"/>
        <v>0</v>
      </c>
      <c r="I20" s="662">
        <f t="shared" ca="1" si="8"/>
        <v>0</v>
      </c>
      <c r="J20" s="662">
        <f t="shared" ca="1" si="9"/>
        <v>0</v>
      </c>
      <c r="K20" s="662">
        <f ca="1">IF(OR($C20="S",$C20=0),0,MATCH(OFFSET($D20,0,$C20)+IF($C20&lt;&gt;1,1,COUNTIF(QCI!$A$13:$A$24,ORÇAMENTO!E20)),OFFSET($D20,1,$C20,ROW($C$27)-ROW($C20)),0))</f>
        <v>0</v>
      </c>
      <c r="L20" s="115" t="str">
        <f t="shared" ca="1" si="10"/>
        <v/>
      </c>
      <c r="M20" s="116" t="s">
        <v>708</v>
      </c>
      <c r="N20" s="117" t="str">
        <f t="shared" ca="1" si="11"/>
        <v>Serviço</v>
      </c>
      <c r="O20" s="118" t="str">
        <f t="shared" ca="1" si="12"/>
        <v>-</v>
      </c>
      <c r="P20" s="119" t="s">
        <v>944</v>
      </c>
      <c r="Q20" s="120" t="s">
        <v>945</v>
      </c>
      <c r="R20" s="121" t="str">
        <f ca="1">IF($C20="S",REFERENCIA.Descricao,"(digite a descrição aqui)")</f>
        <v>(abra o arquivo 'Referência 03-2025.xlsm)</v>
      </c>
      <c r="S20" s="122" t="str">
        <f ca="1">REFERENCIA.Unidade</f>
        <v>-</v>
      </c>
      <c r="T20" s="123">
        <f ca="1">OFFSET(CÁLCULO!H$15,ROW($T20)-ROW(T$15),0)</f>
        <v>6</v>
      </c>
      <c r="U20" s="124">
        <f t="shared" ca="1" si="17"/>
        <v>0</v>
      </c>
      <c r="V20" s="125" t="s">
        <v>665</v>
      </c>
      <c r="W20" s="123">
        <f ca="1">IF($C20="S",ROUND(IF(TIPOORCAMENTO="Proposto",ORÇAMENTO.CustoUnitario*(1+$AH20),ORÇAMENTO.PrecoUnitarioLicitado),15-13*$AF$10),0)</f>
        <v>0</v>
      </c>
      <c r="X20" s="126" cm="1">
        <f t="array" aca="1" ref="X20" ca="1">IF($C20="S",IF(OR(Import.TipoArredondamento&lt;&gt;"TransfereGOV",ACOMPANHAMENTO="BM"),VTOTAL1,SUM(OFFSET(CÁLCULO!$AA$15,ROW($X20)-ROW($X$15),1):OFFSET(CÁLCULO!$AL$15,ROW($X20)-ROW($X$15),-1))),IF($C20=0,0,ROUND(SomaAgrup,15-13*$AF$11)))</f>
        <v>0</v>
      </c>
      <c r="Y20" s="127" t="s">
        <v>754</v>
      </c>
      <c r="Z20" s="662" t="str">
        <f t="shared" ca="1" si="13"/>
        <v/>
      </c>
      <c r="AA20" s="128">
        <f ca="1">IF($C20="S",IF($Z20="CP",$X20,IF($Z20="RA",(($X20)*QCI!$AA$3),0)),SomaAgrup)</f>
        <v>0</v>
      </c>
      <c r="AB20" s="129">
        <f t="shared" ca="1" si="14"/>
        <v>0</v>
      </c>
      <c r="AC20" s="571" t="str">
        <f ca="1">IF($N20=""," ",
IF(AND($C20&lt;&gt;"S",OR($R20="",$R20="(digite a descrição aqui)")),"DESCRIÇÃO",
IF(AND($C20="S",OR($Q20&lt;&gt;0,$T20&gt;0,$U20&gt;0),$P20=0),"FONTE",
IF(AND($C20="S",$P20&lt;&gt;0,OR($T20&gt;0,$U20&gt;0),$Q20=0),"CÓDIGO",
IF(AND($C20="S",$P20&lt;&gt;0,$Q20&lt;&gt;0,$R20="(Código não identificado nas referências)"),"CÓDIGO N/ID",
IF(AND($C20="S",OR($R20="",$R20="(digite a descrição aqui)"),OR($Q20&lt;&gt;0,$T20&gt;0,$U20&gt;0)),"DESCRIÇÃO",
IF(AND($C20="S",$P20&lt;&gt;0,$Q20&lt;&gt;0,$S20=""),"UNIDADE",
IF(AND($C20="S",$P20&lt;&gt;0,$Q20&lt;&gt;0,$U20=0),"SEM CUSTO",
IF(AND(TIPOORCAMENTO="Licitado",$AL20=0,$AN20&gt;0),"SEM PREÇO",
IF(AND($C20="S",$P20&lt;&gt;0,$Q20&lt;&gt;0,$U20&gt;0,$V20=0),"BDI",
IF(OR(AND(TIPOORCAMENTO="Proposto",$AG20&lt;&gt;"",$AG20&gt;0,ORÇAMENTO.CustoUnitario&gt;$AG20),AND(TIPOORCAMENTO="LICITADO",ORÇAMENTO.PrecoUnitarioLicitado&gt;$AN20)),"ACIMA REF.",
IF(AND($C20="S",$P20&lt;&gt;0,$Q20&lt;&gt;0,$T20=0,$U20&gt;0),"QUANT.",
IF(AND(Import.TipoArredondamento="TransfereGOV",$L20="F",$C20="S",LEN($Q20)&gt;13),"Código &gt;13",
IF(AND(Import.TipoArredondamento="TransfereGOV",$L20="F",$C20&lt;&gt;"S",LEN($R20)&gt;100),"Descrição &gt;100",
IF(AND(Import.TipoArredondamento="TransfereGOV",$L20="F",$C20="S",LEN($R20)&gt;500),"Descrição &gt;500",
IF(AND(Import.TipoArredondamento="TransfereGOV",$L20="F",$C20="S",LEFT(TRIM(UPPER($P20)),6)&lt;&gt;"SINAPI",ISNA(VLOOKUP(TRIM(UPPER($S20)),ListaTgov.Unidades,1,FALSE))),"Unid. Não Disp",
" "))))))))))))))))</f>
        <v>SEM CUSTO</v>
      </c>
      <c r="AD20" s="662" t="str">
        <f ca="1">IF(C20&lt;=CRONO.NivelExibicao,MAX($AD$15:OFFSET(AD20,-1,0))+IF($C20&lt;&gt;1,1,MAX(1,COUNTIF(QCI!$A$13:$A$24,OFFSET($E20,-1,0)))),"")</f>
        <v/>
      </c>
      <c r="AE20" s="660" t="str">
        <f ca="1">IF(AND($C20="S",ORÇAMENTO.CodBarra&lt;&gt;""),IF(ORÇAMENTO.Fonte="",ORÇAMENTO.CodBarra,CONCATENATE(ORÇAMENTO.Fonte," ",ORÇAMENTO.CodBarra)))</f>
        <v>Composição 002</v>
      </c>
      <c r="AF20" s="661" t="str">
        <f ca="1">IF(ISERROR(INDIRECT(ORÇAMENTO.BancoRef)),"(abra o arquivo 'Referência "&amp;Excel_BuiltIn_Database&amp;".xlsm)",IF(OR($C20&lt;&gt;"S",ORÇAMENTO.CodBarra=""),"(Sem Código)",IF(ISERROR(MATCH($AE20,INDIRECT(ORÇAMENTO.BancoRef),0)),"(Código não identificado nas referências)",MATCH($AE20,INDIRECT(ORÇAMENTO.BancoRef),0))))</f>
        <v>(abra o arquivo 'Referência 03-2025.xlsm)</v>
      </c>
      <c r="AG20" s="429">
        <f ca="1">ROUND(IF(DESONERACAO="sim",REFERENCIA.Desonerado,REFERENCIA.NaoDesonerado),2)</f>
        <v>0</v>
      </c>
      <c r="AH20" s="430">
        <f t="shared" ca="1" si="15"/>
        <v>0.2354</v>
      </c>
      <c r="AJ20" s="432">
        <v>6</v>
      </c>
      <c r="AL20" s="440"/>
      <c r="AM20" s="337">
        <f t="shared" ca="1" si="0"/>
        <v>0</v>
      </c>
      <c r="AN20" s="471">
        <f t="shared" ca="1" si="16"/>
        <v>0</v>
      </c>
    </row>
    <row r="21" spans="1:40" s="662" customFormat="1" x14ac:dyDescent="0.2">
      <c r="A21" s="662">
        <f t="shared" si="1"/>
        <v>2</v>
      </c>
      <c r="B21" s="662">
        <f t="shared" ca="1" si="2"/>
        <v>2</v>
      </c>
      <c r="C21" s="662">
        <f t="shared" ca="1" si="3"/>
        <v>2</v>
      </c>
      <c r="D21" s="662">
        <f t="shared" ca="1" si="4"/>
        <v>4</v>
      </c>
      <c r="E21" s="662">
        <f ca="1">IF($C21=1,OFFSET(E21,-1,0)+MAX(1,COUNTIF(QCI!$A$13:$A$24,OFFSET(ORÇAMENTO!E21,-1,0))),OFFSET(E21,-1,0))</f>
        <v>1</v>
      </c>
      <c r="F21" s="662">
        <f t="shared" ca="1" si="5"/>
        <v>2</v>
      </c>
      <c r="G21" s="662">
        <f t="shared" ca="1" si="6"/>
        <v>0</v>
      </c>
      <c r="H21" s="662">
        <f t="shared" ca="1" si="7"/>
        <v>0</v>
      </c>
      <c r="I21" s="662">
        <f t="shared" ca="1" si="8"/>
        <v>0</v>
      </c>
      <c r="J21" s="662">
        <f t="shared" ca="1" si="9"/>
        <v>6</v>
      </c>
      <c r="K21" s="662">
        <f ca="1">IF(OR($C21="S",$C21=0),0,MATCH(OFFSET($D21,0,$C21)+IF($C21&lt;&gt;1,1,COUNTIF(QCI!$A$13:$A$24,ORÇAMENTO!E21)),OFFSET($D21,1,$C21,ROW($C$27)-ROW($C21)),0))</f>
        <v>4</v>
      </c>
      <c r="L21" s="115" t="str">
        <f t="shared" ca="1" si="10"/>
        <v>F</v>
      </c>
      <c r="M21" s="116" t="s">
        <v>705</v>
      </c>
      <c r="N21" s="117" t="str">
        <f t="shared" ca="1" si="11"/>
        <v>Nível 2</v>
      </c>
      <c r="O21" s="118" t="str">
        <f t="shared" ca="1" si="12"/>
        <v>1.2.</v>
      </c>
      <c r="P21" s="119" t="s">
        <v>753</v>
      </c>
      <c r="Q21" s="120"/>
      <c r="R21" s="121" t="s">
        <v>939</v>
      </c>
      <c r="S21" s="122" t="str">
        <f ca="1">REFERENCIA.Unidade</f>
        <v>-</v>
      </c>
      <c r="T21" s="123">
        <f ca="1">OFFSET(CÁLCULO!H$15,ROW($T21)-ROW(T$15),0)</f>
        <v>0</v>
      </c>
      <c r="U21" s="124"/>
      <c r="V21" s="125" t="s">
        <v>665</v>
      </c>
      <c r="W21" s="123">
        <f ca="1">IF($C21="S",ROUND(IF(TIPOORCAMENTO="Proposto",ORÇAMENTO.CustoUnitario*(1+$AH21),ORÇAMENTO.PrecoUnitarioLicitado),15-13*$AF$10),0)</f>
        <v>0</v>
      </c>
      <c r="X21" s="126" cm="1">
        <f t="array" aca="1" ref="X21" ca="1">IF($C21="S",IF(OR(Import.TipoArredondamento&lt;&gt;"TransfereGOV",ACOMPANHAMENTO="BM"),VTOTAL1,SUM(OFFSET(CÁLCULO!$AA$15,ROW($X21)-ROW($X$15),1):OFFSET(CÁLCULO!$AL$15,ROW($X21)-ROW($X$15),-1))),IF($C21=0,0,ROUND(SomaAgrup,15-13*$AF$11)))</f>
        <v>0</v>
      </c>
      <c r="Y21" s="127" t="s">
        <v>754</v>
      </c>
      <c r="Z21" s="662" t="str">
        <f t="shared" ca="1" si="13"/>
        <v/>
      </c>
      <c r="AA21" s="128">
        <f ca="1">IF($C21="S",IF($Z21="CP",$X21,IF($Z21="RA",(($X21)*QCI!$AA$3),0)),SomaAgrup)</f>
        <v>0</v>
      </c>
      <c r="AB21" s="129">
        <f t="shared" ca="1" si="14"/>
        <v>0</v>
      </c>
      <c r="AC21" s="571" t="str">
        <f ca="1">IF($N21=""," ",
IF(AND($C21&lt;&gt;"S",OR($R21="",$R21="(digite a descrição aqui)")),"DESCRIÇÃO",
IF(AND($C21="S",OR($Q21&lt;&gt;0,$T21&gt;0,$U21&gt;0),$P21=0),"FONTE",
IF(AND($C21="S",$P21&lt;&gt;0,OR($T21&gt;0,$U21&gt;0),$Q21=0),"CÓDIGO",
IF(AND($C21="S",$P21&lt;&gt;0,$Q21&lt;&gt;0,$R21="(Código não identificado nas referências)"),"CÓDIGO N/ID",
IF(AND($C21="S",OR($R21="",$R21="(digite a descrição aqui)"),OR($Q21&lt;&gt;0,$T21&gt;0,$U21&gt;0)),"DESCRIÇÃO",
IF(AND($C21="S",$P21&lt;&gt;0,$Q21&lt;&gt;0,$S21=""),"UNIDADE",
IF(AND($C21="S",$P21&lt;&gt;0,$Q21&lt;&gt;0,$U21=0),"SEM CUSTO",
IF(AND(TIPOORCAMENTO="Licitado",$AL21=0,$AN21&gt;0),"SEM PREÇO",
IF(AND($C21="S",$P21&lt;&gt;0,$Q21&lt;&gt;0,$U21&gt;0,$V21=0),"BDI",
IF(OR(AND(TIPOORCAMENTO="Proposto",$AG21&lt;&gt;"",$AG21&gt;0,ORÇAMENTO.CustoUnitario&gt;$AG21),AND(TIPOORCAMENTO="LICITADO",ORÇAMENTO.PrecoUnitarioLicitado&gt;$AN21)),"ACIMA REF.",
IF(AND($C21="S",$P21&lt;&gt;0,$Q21&lt;&gt;0,$T21=0,$U21&gt;0),"QUANT.",
IF(AND(Import.TipoArredondamento="TransfereGOV",$L21="F",$C21="S",LEN($Q21)&gt;13),"Código &gt;13",
IF(AND(Import.TipoArredondamento="TransfereGOV",$L21="F",$C21&lt;&gt;"S",LEN($R21)&gt;100),"Descrição &gt;100",
IF(AND(Import.TipoArredondamento="TransfereGOV",$L21="F",$C21="S",LEN($R21)&gt;500),"Descrição &gt;500",
IF(AND(Import.TipoArredondamento="TransfereGOV",$L21="F",$C21="S",LEFT(TRIM(UPPER($P21)),6)&lt;&gt;"SINAPI",ISNA(VLOOKUP(TRIM(UPPER($S21)),ListaTgov.Unidades,1,FALSE))),"Unid. Não Disp",
" "))))))))))))))))</f>
        <v xml:space="preserve"> </v>
      </c>
      <c r="AD21" s="662">
        <f ca="1">IF(C21&lt;=CRONO.NivelExibicao,MAX($AD$15:OFFSET(AD21,-1,0))+IF($C21&lt;&gt;1,1,MAX(1,COUNTIF(QCI!$A$13:$A$24,OFFSET($E21,-1,0)))),"")</f>
        <v>3</v>
      </c>
      <c r="AE21" s="660" t="b">
        <f ca="1">IF(AND($C21="S",ORÇAMENTO.CodBarra&lt;&gt;""),IF(ORÇAMENTO.Fonte="",ORÇAMENTO.CodBarra,CONCATENATE(ORÇAMENTO.Fonte," ",ORÇAMENTO.CodBarra)))</f>
        <v>0</v>
      </c>
      <c r="AF21" s="661" t="str">
        <f ca="1">IF(ISERROR(INDIRECT(ORÇAMENTO.BancoRef)),"(abra o arquivo 'Referência "&amp;Excel_BuiltIn_Database&amp;".xlsm)",IF(OR($C21&lt;&gt;"S",ORÇAMENTO.CodBarra=""),"(Sem Código)",IF(ISERROR(MATCH($AE21,INDIRECT(ORÇAMENTO.BancoRef),0)),"(Código não identificado nas referências)",MATCH($AE21,INDIRECT(ORÇAMENTO.BancoRef),0))))</f>
        <v>(abra o arquivo 'Referência 03-2025.xlsm)</v>
      </c>
      <c r="AG21" s="429">
        <f ca="1">ROUND(IF(DESONERACAO="sim",REFERENCIA.Desonerado,REFERENCIA.NaoDesonerado),2)</f>
        <v>0</v>
      </c>
      <c r="AH21" s="430">
        <f t="shared" ca="1" si="15"/>
        <v>0.2354</v>
      </c>
      <c r="AJ21" s="432"/>
      <c r="AL21" s="440"/>
      <c r="AM21" s="337">
        <f t="shared" ca="1" si="0"/>
        <v>0</v>
      </c>
      <c r="AN21" s="471">
        <f t="shared" ca="1" si="16"/>
        <v>0</v>
      </c>
    </row>
    <row r="22" spans="1:40" s="662" customFormat="1" ht="38.25" x14ac:dyDescent="0.2">
      <c r="A22" s="662" t="str">
        <f t="shared" si="1"/>
        <v>S</v>
      </c>
      <c r="B22" s="662">
        <f t="shared" ca="1" si="2"/>
        <v>2</v>
      </c>
      <c r="C22" s="662" t="str">
        <f t="shared" ca="1" si="3"/>
        <v>S</v>
      </c>
      <c r="D22" s="662">
        <f t="shared" ca="1" si="4"/>
        <v>0</v>
      </c>
      <c r="E22" s="662">
        <f ca="1">IF($C22=1,OFFSET(E22,-1,0)+MAX(1,COUNTIF(QCI!$A$13:$A$24,OFFSET(ORÇAMENTO!E22,-1,0))),OFFSET(E22,-1,0))</f>
        <v>1</v>
      </c>
      <c r="F22" s="662">
        <f t="shared" ca="1" si="5"/>
        <v>2</v>
      </c>
      <c r="G22" s="662">
        <f t="shared" ca="1" si="6"/>
        <v>0</v>
      </c>
      <c r="H22" s="662">
        <f t="shared" ca="1" si="7"/>
        <v>0</v>
      </c>
      <c r="I22" s="662">
        <f t="shared" ca="1" si="8"/>
        <v>0</v>
      </c>
      <c r="J22" s="662">
        <f t="shared" ca="1" si="9"/>
        <v>0</v>
      </c>
      <c r="K22" s="662">
        <f ca="1">IF(OR($C22="S",$C22=0),0,MATCH(OFFSET($D22,0,$C22)+IF($C22&lt;&gt;1,1,COUNTIF(QCI!$A$13:$A$24,ORÇAMENTO!E22)),OFFSET($D22,1,$C22,ROW($C$27)-ROW($C22)),0))</f>
        <v>0</v>
      </c>
      <c r="L22" s="115" t="str">
        <f t="shared" ca="1" si="10"/>
        <v/>
      </c>
      <c r="M22" s="116" t="s">
        <v>708</v>
      </c>
      <c r="N22" s="117" t="str">
        <f t="shared" ca="1" si="11"/>
        <v>Serviço</v>
      </c>
      <c r="O22" s="118" t="str">
        <f t="shared" ca="1" si="12"/>
        <v>-</v>
      </c>
      <c r="P22" s="119" t="s">
        <v>753</v>
      </c>
      <c r="Q22" s="120" t="s">
        <v>942</v>
      </c>
      <c r="R22" s="121" t="str">
        <f ca="1">IF($C22="S",REFERENCIA.Descricao,"(digite a descrição aqui)")</f>
        <v>(abra o arquivo 'Referência 03-2025.xlsm)</v>
      </c>
      <c r="S22" s="122" t="str">
        <f ca="1">REFERENCIA.Unidade</f>
        <v>-</v>
      </c>
      <c r="T22" s="123">
        <f ca="1">OFFSET(CÁLCULO!H$15,ROW($T22)-ROW(T$15),0)</f>
        <v>3</v>
      </c>
      <c r="U22" s="124">
        <f t="shared" ref="U22:U24" ca="1" si="18">AG22</f>
        <v>0</v>
      </c>
      <c r="V22" s="125" t="s">
        <v>665</v>
      </c>
      <c r="W22" s="123">
        <f ca="1">IF($C22="S",ROUND(IF(TIPOORCAMENTO="Proposto",ORÇAMENTO.CustoUnitario*(1+$AH22),ORÇAMENTO.PrecoUnitarioLicitado),15-13*$AF$10),0)</f>
        <v>0</v>
      </c>
      <c r="X22" s="126" cm="1">
        <f t="array" aca="1" ref="X22" ca="1">IF($C22="S",IF(OR(Import.TipoArredondamento&lt;&gt;"TransfereGOV",ACOMPANHAMENTO="BM"),VTOTAL1,SUM(OFFSET(CÁLCULO!$AA$15,ROW($X22)-ROW($X$15),1):OFFSET(CÁLCULO!$AL$15,ROW($X22)-ROW($X$15),-1))),IF($C22=0,0,ROUND(SomaAgrup,15-13*$AF$11)))</f>
        <v>0</v>
      </c>
      <c r="Y22" s="127" t="s">
        <v>754</v>
      </c>
      <c r="Z22" s="662" t="str">
        <f t="shared" ca="1" si="13"/>
        <v/>
      </c>
      <c r="AA22" s="128">
        <f ca="1">IF($C22="S",IF($Z22="CP",$X22,IF($Z22="RA",(($X22)*QCI!$AA$3),0)),SomaAgrup)</f>
        <v>0</v>
      </c>
      <c r="AB22" s="129">
        <f t="shared" ca="1" si="14"/>
        <v>0</v>
      </c>
      <c r="AC22" s="571" t="str">
        <f ca="1">IF($N22=""," ",
IF(AND($C22&lt;&gt;"S",OR($R22="",$R22="(digite a descrição aqui)")),"DESCRIÇÃO",
IF(AND($C22="S",OR($Q22&lt;&gt;0,$T22&gt;0,$U22&gt;0),$P22=0),"FONTE",
IF(AND($C22="S",$P22&lt;&gt;0,OR($T22&gt;0,$U22&gt;0),$Q22=0),"CÓDIGO",
IF(AND($C22="S",$P22&lt;&gt;0,$Q22&lt;&gt;0,$R22="(Código não identificado nas referências)"),"CÓDIGO N/ID",
IF(AND($C22="S",OR($R22="",$R22="(digite a descrição aqui)"),OR($Q22&lt;&gt;0,$T22&gt;0,$U22&gt;0)),"DESCRIÇÃO",
IF(AND($C22="S",$P22&lt;&gt;0,$Q22&lt;&gt;0,$S22=""),"UNIDADE",
IF(AND($C22="S",$P22&lt;&gt;0,$Q22&lt;&gt;0,$U22=0),"SEM CUSTO",
IF(AND(TIPOORCAMENTO="Licitado",$AL22=0,$AN22&gt;0),"SEM PREÇO",
IF(AND($C22="S",$P22&lt;&gt;0,$Q22&lt;&gt;0,$U22&gt;0,$V22=0),"BDI",
IF(OR(AND(TIPOORCAMENTO="Proposto",$AG22&lt;&gt;"",$AG22&gt;0,ORÇAMENTO.CustoUnitario&gt;$AG22),AND(TIPOORCAMENTO="LICITADO",ORÇAMENTO.PrecoUnitarioLicitado&gt;$AN22)),"ACIMA REF.",
IF(AND($C22="S",$P22&lt;&gt;0,$Q22&lt;&gt;0,$T22=0,$U22&gt;0),"QUANT.",
IF(AND(Import.TipoArredondamento="TransfereGOV",$L22="F",$C22="S",LEN($Q22)&gt;13),"Código &gt;13",
IF(AND(Import.TipoArredondamento="TransfereGOV",$L22="F",$C22&lt;&gt;"S",LEN($R22)&gt;100),"Descrição &gt;100",
IF(AND(Import.TipoArredondamento="TransfereGOV",$L22="F",$C22="S",LEN($R22)&gt;500),"Descrição &gt;500",
IF(AND(Import.TipoArredondamento="TransfereGOV",$L22="F",$C22="S",LEFT(TRIM(UPPER($P22)),6)&lt;&gt;"SINAPI",ISNA(VLOOKUP(TRIM(UPPER($S22)),ListaTgov.Unidades,1,FALSE))),"Unid. Não Disp",
" "))))))))))))))))</f>
        <v>SEM CUSTO</v>
      </c>
      <c r="AD22" s="662" t="str">
        <f ca="1">IF(C22&lt;=CRONO.NivelExibicao,MAX($AD$15:OFFSET(AD22,-1,0))+IF($C22&lt;&gt;1,1,MAX(1,COUNTIF(QCI!$A$13:$A$24,OFFSET($E22,-1,0)))),"")</f>
        <v/>
      </c>
      <c r="AE22" s="660" t="str">
        <f ca="1">IF(AND($C22="S",ORÇAMENTO.CodBarra&lt;&gt;""),IF(ORÇAMENTO.Fonte="",ORÇAMENTO.CodBarra,CONCATENATE(ORÇAMENTO.Fonte," ",ORÇAMENTO.CodBarra)))</f>
        <v>SINAPI 92616</v>
      </c>
      <c r="AF22" s="661" t="str">
        <f ca="1">IF(ISERROR(INDIRECT(ORÇAMENTO.BancoRef)),"(abra o arquivo 'Referência "&amp;Excel_BuiltIn_Database&amp;".xlsm)",IF(OR($C22&lt;&gt;"S",ORÇAMENTO.CodBarra=""),"(Sem Código)",IF(ISERROR(MATCH($AE22,INDIRECT(ORÇAMENTO.BancoRef),0)),"(Código não identificado nas referências)",MATCH($AE22,INDIRECT(ORÇAMENTO.BancoRef),0))))</f>
        <v>(abra o arquivo 'Referência 03-2025.xlsm)</v>
      </c>
      <c r="AG22" s="429">
        <f ca="1">ROUND(IF(DESONERACAO="sim",REFERENCIA.Desonerado,REFERENCIA.NaoDesonerado),2)</f>
        <v>0</v>
      </c>
      <c r="AH22" s="430">
        <f t="shared" ca="1" si="15"/>
        <v>0.2354</v>
      </c>
      <c r="AJ22" s="432">
        <v>3</v>
      </c>
      <c r="AL22" s="440"/>
      <c r="AM22" s="337">
        <f t="shared" ca="1" si="0"/>
        <v>0</v>
      </c>
      <c r="AN22" s="471">
        <f t="shared" ca="1" si="16"/>
        <v>0</v>
      </c>
    </row>
    <row r="23" spans="1:40" s="662" customFormat="1" ht="51" x14ac:dyDescent="0.2">
      <c r="A23" s="662" t="str">
        <f t="shared" si="1"/>
        <v>S</v>
      </c>
      <c r="B23" s="662">
        <f t="shared" ca="1" si="2"/>
        <v>2</v>
      </c>
      <c r="C23" s="662" t="str">
        <f t="shared" ca="1" si="3"/>
        <v>S</v>
      </c>
      <c r="D23" s="662">
        <f t="shared" ca="1" si="4"/>
        <v>0</v>
      </c>
      <c r="E23" s="662">
        <f ca="1">IF($C23=1,OFFSET(E23,-1,0)+MAX(1,COUNTIF(QCI!$A$13:$A$24,OFFSET(ORÇAMENTO!E23,-1,0))),OFFSET(E23,-1,0))</f>
        <v>1</v>
      </c>
      <c r="F23" s="662">
        <f t="shared" ca="1" si="5"/>
        <v>2</v>
      </c>
      <c r="G23" s="662">
        <f t="shared" ca="1" si="6"/>
        <v>0</v>
      </c>
      <c r="H23" s="662">
        <f t="shared" ca="1" si="7"/>
        <v>0</v>
      </c>
      <c r="I23" s="662">
        <f t="shared" ca="1" si="8"/>
        <v>0</v>
      </c>
      <c r="J23" s="662">
        <f t="shared" ca="1" si="9"/>
        <v>0</v>
      </c>
      <c r="K23" s="662">
        <f ca="1">IF(OR($C23="S",$C23=0),0,MATCH(OFFSET($D23,0,$C23)+IF($C23&lt;&gt;1,1,COUNTIF(QCI!$A$13:$A$24,ORÇAMENTO!E23)),OFFSET($D23,1,$C23,ROW($C$27)-ROW($C23)),0))</f>
        <v>0</v>
      </c>
      <c r="L23" s="115" t="str">
        <f t="shared" ca="1" si="10"/>
        <v/>
      </c>
      <c r="M23" s="116" t="s">
        <v>708</v>
      </c>
      <c r="N23" s="117" t="str">
        <f t="shared" ca="1" si="11"/>
        <v>Serviço</v>
      </c>
      <c r="O23" s="118" t="str">
        <f t="shared" ca="1" si="12"/>
        <v>-</v>
      </c>
      <c r="P23" s="119" t="s">
        <v>944</v>
      </c>
      <c r="Q23" s="120" t="s">
        <v>948</v>
      </c>
      <c r="R23" s="121" t="str">
        <f ca="1">IF($C23="S",REFERENCIA.Descricao,"(digite a descrição aqui)")</f>
        <v>(abra o arquivo 'Referência 03-2025.xlsm)</v>
      </c>
      <c r="S23" s="122" t="str">
        <f ca="1">REFERENCIA.Unidade</f>
        <v>-</v>
      </c>
      <c r="T23" s="123">
        <f ca="1">OFFSET(CÁLCULO!H$15,ROW($T23)-ROW(T$15),0)</f>
        <v>299.10000000000002</v>
      </c>
      <c r="U23" s="124">
        <f t="shared" ca="1" si="18"/>
        <v>0</v>
      </c>
      <c r="V23" s="125" t="s">
        <v>665</v>
      </c>
      <c r="W23" s="123">
        <f ca="1">IF($C23="S",ROUND(IF(TIPOORCAMENTO="Proposto",ORÇAMENTO.CustoUnitario*(1+$AH23),ORÇAMENTO.PrecoUnitarioLicitado),15-13*$AF$10),0)</f>
        <v>0</v>
      </c>
      <c r="X23" s="126" cm="1">
        <f t="array" aca="1" ref="X23" ca="1">IF($C23="S",IF(OR(Import.TipoArredondamento&lt;&gt;"TransfereGOV",ACOMPANHAMENTO="BM"),VTOTAL1,SUM(OFFSET(CÁLCULO!$AA$15,ROW($X23)-ROW($X$15),1):OFFSET(CÁLCULO!$AL$15,ROW($X23)-ROW($X$15),-1))),IF($C23=0,0,ROUND(SomaAgrup,15-13*$AF$11)))</f>
        <v>0</v>
      </c>
      <c r="Y23" s="127" t="s">
        <v>754</v>
      </c>
      <c r="Z23" s="662" t="str">
        <f t="shared" ca="1" si="13"/>
        <v/>
      </c>
      <c r="AA23" s="128">
        <f ca="1">IF($C23="S",IF($Z23="CP",$X23,IF($Z23="RA",(($X23)*QCI!$AA$3),0)),SomaAgrup)</f>
        <v>0</v>
      </c>
      <c r="AB23" s="129">
        <f t="shared" ca="1" si="14"/>
        <v>0</v>
      </c>
      <c r="AC23" s="571" t="str">
        <f ca="1">IF($N23=""," ",
IF(AND($C23&lt;&gt;"S",OR($R23="",$R23="(digite a descrição aqui)")),"DESCRIÇÃO",
IF(AND($C23="S",OR($Q23&lt;&gt;0,$T23&gt;0,$U23&gt;0),$P23=0),"FONTE",
IF(AND($C23="S",$P23&lt;&gt;0,OR($T23&gt;0,$U23&gt;0),$Q23=0),"CÓDIGO",
IF(AND($C23="S",$P23&lt;&gt;0,$Q23&lt;&gt;0,$R23="(Código não identificado nas referências)"),"CÓDIGO N/ID",
IF(AND($C23="S",OR($R23="",$R23="(digite a descrição aqui)"),OR($Q23&lt;&gt;0,$T23&gt;0,$U23&gt;0)),"DESCRIÇÃO",
IF(AND($C23="S",$P23&lt;&gt;0,$Q23&lt;&gt;0,$S23=""),"UNIDADE",
IF(AND($C23="S",$P23&lt;&gt;0,$Q23&lt;&gt;0,$U23=0),"SEM CUSTO",
IF(AND(TIPOORCAMENTO="Licitado",$AL23=0,$AN23&gt;0),"SEM PREÇO",
IF(AND($C23="S",$P23&lt;&gt;0,$Q23&lt;&gt;0,$U23&gt;0,$V23=0),"BDI",
IF(OR(AND(TIPOORCAMENTO="Proposto",$AG23&lt;&gt;"",$AG23&gt;0,ORÇAMENTO.CustoUnitario&gt;$AG23),AND(TIPOORCAMENTO="LICITADO",ORÇAMENTO.PrecoUnitarioLicitado&gt;$AN23)),"ACIMA REF.",
IF(AND($C23="S",$P23&lt;&gt;0,$Q23&lt;&gt;0,$T23=0,$U23&gt;0),"QUANT.",
IF(AND(Import.TipoArredondamento="TransfereGOV",$L23="F",$C23="S",LEN($Q23)&gt;13),"Código &gt;13",
IF(AND(Import.TipoArredondamento="TransfereGOV",$L23="F",$C23&lt;&gt;"S",LEN($R23)&gt;100),"Descrição &gt;100",
IF(AND(Import.TipoArredondamento="TransfereGOV",$L23="F",$C23="S",LEN($R23)&gt;500),"Descrição &gt;500",
IF(AND(Import.TipoArredondamento="TransfereGOV",$L23="F",$C23="S",LEFT(TRIM(UPPER($P23)),6)&lt;&gt;"SINAPI",ISNA(VLOOKUP(TRIM(UPPER($S23)),ListaTgov.Unidades,1,FALSE))),"Unid. Não Disp",
" "))))))))))))))))</f>
        <v>SEM CUSTO</v>
      </c>
      <c r="AD23" s="662" t="str">
        <f ca="1">IF(C23&lt;=CRONO.NivelExibicao,MAX($AD$15:OFFSET(AD23,-1,0))+IF($C23&lt;&gt;1,1,MAX(1,COUNTIF(QCI!$A$13:$A$24,OFFSET($E23,-1,0)))),"")</f>
        <v/>
      </c>
      <c r="AE23" s="660" t="str">
        <f ca="1">IF(AND($C23="S",ORÇAMENTO.CodBarra&lt;&gt;""),IF(ORÇAMENTO.Fonte="",ORÇAMENTO.CodBarra,CONCATENATE(ORÇAMENTO.Fonte," ",ORÇAMENTO.CodBarra)))</f>
        <v>Composição 003</v>
      </c>
      <c r="AF23" s="661" t="str">
        <f ca="1">IF(ISERROR(INDIRECT(ORÇAMENTO.BancoRef)),"(abra o arquivo 'Referência "&amp;Excel_BuiltIn_Database&amp;".xlsm)",IF(OR($C23&lt;&gt;"S",ORÇAMENTO.CodBarra=""),"(Sem Código)",IF(ISERROR(MATCH($AE23,INDIRECT(ORÇAMENTO.BancoRef),0)),"(Código não identificado nas referências)",MATCH($AE23,INDIRECT(ORÇAMENTO.BancoRef),0))))</f>
        <v>(abra o arquivo 'Referência 03-2025.xlsm)</v>
      </c>
      <c r="AG23" s="429">
        <f ca="1">ROUND(IF(DESONERACAO="sim",REFERENCIA.Desonerado,REFERENCIA.NaoDesonerado),2)</f>
        <v>0</v>
      </c>
      <c r="AH23" s="430">
        <f t="shared" ca="1" si="15"/>
        <v>0.2354</v>
      </c>
      <c r="AJ23" s="432">
        <v>299.10000000000002</v>
      </c>
      <c r="AL23" s="440"/>
      <c r="AM23" s="337">
        <f t="shared" ca="1" si="0"/>
        <v>0</v>
      </c>
      <c r="AN23" s="471">
        <f t="shared" ca="1" si="16"/>
        <v>0</v>
      </c>
    </row>
    <row r="24" spans="1:40" s="662" customFormat="1" ht="51" x14ac:dyDescent="0.2">
      <c r="A24" s="662" t="str">
        <f>CHOOSE(1+LOG(1+2*(ORÇAMENTO.Nivel="Meta")+4*(ORÇAMENTO.Nivel="Nível 2")+8*(ORÇAMENTO.Nivel="Nível 3")+16*(ORÇAMENTO.Nivel="Nível 4")+32*(ORÇAMENTO.Nivel="Serviço"),2),0,1,2,3,4,"S")</f>
        <v>S</v>
      </c>
      <c r="B24" s="662">
        <f ca="1">IF(OR(C24="s",C24=0),OFFSET(B24,-1,0),C24)</f>
        <v>2</v>
      </c>
      <c r="C24" s="662" t="str">
        <f ca="1">IF(OFFSET(C24,-1,0)="L",1,IF(OFFSET(C24,-1,0)=1,2,IF(OR(A24="s",A24=0),"S",IF(AND(OFFSET(C24,-1,0)=2,A24=4),3,IF(AND(OR(OFFSET(C24,-1,0)="s",OFFSET(C24,-1,0)=0),A24&lt;&gt;"s",A24&gt;OFFSET(B24,-1,0)),OFFSET(B24,-1,0),A24)))))</f>
        <v>S</v>
      </c>
      <c r="D24" s="662">
        <f ca="1">IF(OR(C24="S",C24=0),0,IF(ISERROR(K24),J24,SMALL(J24:K24,1)))</f>
        <v>0</v>
      </c>
      <c r="E24" s="662">
        <f ca="1">IF($C24=1,OFFSET(E24,-1,0)+MAX(1,COUNTIF(QCI!$A$13:$A$24,OFFSET(ORÇAMENTO!E24,-1,0))),OFFSET(E24,-1,0))</f>
        <v>1</v>
      </c>
      <c r="F24" s="662">
        <f ca="1">IF($C24=1,0,IF($C24=2,OFFSET(F24,-1,0)+1,OFFSET(F24,-1,0)))</f>
        <v>2</v>
      </c>
      <c r="G24" s="662">
        <f ca="1">IF(AND($C24&lt;=2,$C24&lt;&gt;0),0,IF($C24=3,OFFSET(G24,-1,0)+1,OFFSET(G24,-1,0)))</f>
        <v>0</v>
      </c>
      <c r="H24" s="662">
        <f ca="1">IF(AND($C24&lt;=3,$C24&lt;&gt;0),0,IF($C24=4,OFFSET(H24,-1,0)+1,OFFSET(H24,-1,0)))</f>
        <v>0</v>
      </c>
      <c r="I24" s="662">
        <f ca="1">IF(AND($C24&lt;=4,$C24&lt;&gt;0),0,IF(AND($C24="S",$X24&gt;0),OFFSET(I24,-1,0)+1,OFFSET(I24,-1,0)))</f>
        <v>0</v>
      </c>
      <c r="J24" s="662">
        <f t="shared" ca="1" si="9"/>
        <v>0</v>
      </c>
      <c r="K24" s="662">
        <f ca="1">IF(OR($C24="S",$C24=0),0,MATCH(OFFSET($D24,0,$C24)+IF($C24&lt;&gt;1,1,COUNTIF(QCI!$A$13:$A$24,ORÇAMENTO!E24)),OFFSET($D24,1,$C24,ROW($C$27)-ROW($C24)),0))</f>
        <v>0</v>
      </c>
      <c r="L24" s="115" t="str">
        <f ca="1">IF(OR($X24&gt;0,$C24=1,$C24=2,$C24=3,$C24=4),"F","")</f>
        <v/>
      </c>
      <c r="M24" s="116" t="s">
        <v>708</v>
      </c>
      <c r="N24" s="117" t="str">
        <f ca="1">CHOOSE(1+LOG(1+2*(C24=1)+4*(C24=2)+8*(C24=3)+16*(C24=4)+32*(C24="S"),2),"","Meta","Nível 2","Nível 3","Nível 4","Serviço")</f>
        <v>Serviço</v>
      </c>
      <c r="O24" s="118" t="str">
        <f ca="1">IF(OR($C24=0,$L24=""),"-",CONCATENATE(E24&amp;".",IF(AND($A$5&gt;=2,$C24&gt;=2),F24&amp;".",""),IF(AND($A$5&gt;=3,$C24&gt;=3),G24&amp;".",""),IF(AND($A$5&gt;=4,$C24&gt;=4),H24&amp;".",""),IF($C24="S",I24&amp;".","")))</f>
        <v>-</v>
      </c>
      <c r="P24" s="119" t="s">
        <v>753</v>
      </c>
      <c r="Q24" s="120" t="s">
        <v>943</v>
      </c>
      <c r="R24" s="121" t="str">
        <f ca="1">IF($C24="S",REFERENCIA.Descricao,"(digite a descrição aqui)")</f>
        <v>(abra o arquivo 'Referência 03-2025.xlsm)</v>
      </c>
      <c r="S24" s="122" t="str">
        <f ca="1">REFERENCIA.Unidade</f>
        <v>-</v>
      </c>
      <c r="T24" s="123">
        <f ca="1">OFFSET(CÁLCULO!H$15,ROW($T24)-ROW(T$15),0)</f>
        <v>100</v>
      </c>
      <c r="U24" s="124">
        <f t="shared" ca="1" si="18"/>
        <v>0</v>
      </c>
      <c r="V24" s="125" t="s">
        <v>665</v>
      </c>
      <c r="W24" s="123">
        <f ca="1">IF($C24="S",ROUND(IF(TIPOORCAMENTO="Proposto",ORÇAMENTO.CustoUnitario*(1+$AH24),ORÇAMENTO.PrecoUnitarioLicitado),15-13*$AF$10),0)</f>
        <v>0</v>
      </c>
      <c r="X24" s="126" cm="1">
        <f t="array" aca="1" ref="X24" ca="1">IF($C24="S",IF(OR(Import.TipoArredondamento&lt;&gt;"TransfereGOV",ACOMPANHAMENTO="BM"),VTOTAL1,SUM(OFFSET(CÁLCULO!$AA$15,ROW($X24)-ROW($X$15),1):OFFSET(CÁLCULO!$AL$15,ROW($X24)-ROW($X$15),-1))),IF($C24=0,0,ROUND(SomaAgrup,15-13*$AF$11)))</f>
        <v>0</v>
      </c>
      <c r="Y24" s="127" t="s">
        <v>754</v>
      </c>
      <c r="Z24" s="662" t="str">
        <f ca="1">IF(AND($C24="S",$X24&gt;0),IF(ISBLANK($Y24),"RA",LEFT($Y24,2)),"")</f>
        <v/>
      </c>
      <c r="AA24" s="128">
        <f ca="1">IF($C24="S",IF($Z24="CP",$X24,IF($Z24="RA",(($X24)*QCI!$AA$3),0)),SomaAgrup)</f>
        <v>0</v>
      </c>
      <c r="AB24" s="129">
        <f ca="1">IF($C24="S",IF($Z24="OU",ROUND($X24,2),0),SomaAgrup)</f>
        <v>0</v>
      </c>
      <c r="AC24" s="571" t="str">
        <f ca="1">IF($N24=""," ",
IF(AND($C24&lt;&gt;"S",OR($R24="",$R24="(digite a descrição aqui)")),"DESCRIÇÃO",
IF(AND($C24="S",OR($Q24&lt;&gt;0,$T24&gt;0,$U24&gt;0),$P24=0),"FONTE",
IF(AND($C24="S",$P24&lt;&gt;0,OR($T24&gt;0,$U24&gt;0),$Q24=0),"CÓDIGO",
IF(AND($C24="S",$P24&lt;&gt;0,$Q24&lt;&gt;0,$R24="(Código não identificado nas referências)"),"CÓDIGO N/ID",
IF(AND($C24="S",OR($R24="",$R24="(digite a descrição aqui)"),OR($Q24&lt;&gt;0,$T24&gt;0,$U24&gt;0)),"DESCRIÇÃO",
IF(AND($C24="S",$P24&lt;&gt;0,$Q24&lt;&gt;0,$S24=""),"UNIDADE",
IF(AND($C24="S",$P24&lt;&gt;0,$Q24&lt;&gt;0,$U24=0),"SEM CUSTO",
IF(AND(TIPOORCAMENTO="Licitado",$AL24=0,$AN24&gt;0),"SEM PREÇO",
IF(AND($C24="S",$P24&lt;&gt;0,$Q24&lt;&gt;0,$U24&gt;0,$V24=0),"BDI",
IF(OR(AND(TIPOORCAMENTO="Proposto",$AG24&lt;&gt;"",$AG24&gt;0,ORÇAMENTO.CustoUnitario&gt;$AG24),AND(TIPOORCAMENTO="LICITADO",ORÇAMENTO.PrecoUnitarioLicitado&gt;$AN24)),"ACIMA REF.",
IF(AND($C24="S",$P24&lt;&gt;0,$Q24&lt;&gt;0,$T24=0,$U24&gt;0),"QUANT.",
IF(AND(Import.TipoArredondamento="TransfereGOV",$L24="F",$C24="S",LEN($Q24)&gt;13),"Código &gt;13",
IF(AND(Import.TipoArredondamento="TransfereGOV",$L24="F",$C24&lt;&gt;"S",LEN($R24)&gt;100),"Descrição &gt;100",
IF(AND(Import.TipoArredondamento="TransfereGOV",$L24="F",$C24="S",LEN($R24)&gt;500),"Descrição &gt;500",
IF(AND(Import.TipoArredondamento="TransfereGOV",$L24="F",$C24="S",LEFT(TRIM(UPPER($P24)),6)&lt;&gt;"SINAPI",ISNA(VLOOKUP(TRIM(UPPER($S24)),ListaTgov.Unidades,1,FALSE))),"Unid. Não Disp",
" "))))))))))))))))</f>
        <v>SEM CUSTO</v>
      </c>
      <c r="AD24" s="662" t="str">
        <f ca="1">IF(C24&lt;=CRONO.NivelExibicao,MAX($AD$15:OFFSET(AD24,-1,0))+IF($C24&lt;&gt;1,1,MAX(1,COUNTIF(QCI!$A$13:$A$24,OFFSET($E24,-1,0)))),"")</f>
        <v/>
      </c>
      <c r="AE24" s="660" t="str">
        <f ca="1">IF(AND($C24="S",ORÇAMENTO.CodBarra&lt;&gt;""),IF(ORÇAMENTO.Fonte="",ORÇAMENTO.CodBarra,CONCATENATE(ORÇAMENTO.Fonte," ",ORÇAMENTO.CodBarra)))</f>
        <v>SINAPI 92580</v>
      </c>
      <c r="AF24" s="661" t="str">
        <f ca="1">IF(ISERROR(INDIRECT(ORÇAMENTO.BancoRef)),"(abra o arquivo 'Referência "&amp;Excel_BuiltIn_Database&amp;".xlsm)",IF(OR($C24&lt;&gt;"S",ORÇAMENTO.CodBarra=""),"(Sem Código)",IF(ISERROR(MATCH($AE24,INDIRECT(ORÇAMENTO.BancoRef),0)),"(Código não identificado nas referências)",MATCH($AE24,INDIRECT(ORÇAMENTO.BancoRef),0))))</f>
        <v>(abra o arquivo 'Referência 03-2025.xlsm)</v>
      </c>
      <c r="AG24" s="429">
        <f ca="1">ROUND(IF(DESONERACAO="sim",REFERENCIA.Desonerado,REFERENCIA.NaoDesonerado),2)</f>
        <v>0</v>
      </c>
      <c r="AH24" s="430">
        <f ca="1">ROUND(IF(ISNUMBER(ORÇAMENTO.OpcaoBDI),ORÇAMENTO.OpcaoBDI,IF(LEFT(ORÇAMENTO.OpcaoBDI,3)="BDI",HLOOKUP(ORÇAMENTO.OpcaoBDI,$F$4:$H$5,2,FALSE),0)),15-11*$AF$9)</f>
        <v>0.2354</v>
      </c>
      <c r="AJ24" s="432">
        <f>10*10</f>
        <v>100</v>
      </c>
      <c r="AL24" s="440"/>
      <c r="AM24" s="337">
        <f t="shared" ca="1" si="0"/>
        <v>0</v>
      </c>
      <c r="AN24" s="471">
        <f ca="1">ROUND(ORÇAMENTO.CustoUnitario*(1+$AH24),2)</f>
        <v>0</v>
      </c>
    </row>
    <row r="25" spans="1:40" s="662" customFormat="1" x14ac:dyDescent="0.2">
      <c r="A25" s="662">
        <f t="shared" si="1"/>
        <v>2</v>
      </c>
      <c r="B25" s="662">
        <f t="shared" ca="1" si="2"/>
        <v>2</v>
      </c>
      <c r="C25" s="662">
        <f t="shared" ca="1" si="3"/>
        <v>2</v>
      </c>
      <c r="D25" s="662">
        <f t="shared" ca="1" si="4"/>
        <v>2</v>
      </c>
      <c r="E25" s="662">
        <f ca="1">IF($C25=1,OFFSET(E25,-1,0)+MAX(1,COUNTIF(QCI!$A$13:$A$24,OFFSET(ORÇAMENTO!E25,-1,0))),OFFSET(E25,-1,0))</f>
        <v>1</v>
      </c>
      <c r="F25" s="662">
        <f t="shared" ca="1" si="5"/>
        <v>3</v>
      </c>
      <c r="G25" s="662">
        <f t="shared" ca="1" si="6"/>
        <v>0</v>
      </c>
      <c r="H25" s="662">
        <f t="shared" ca="1" si="7"/>
        <v>0</v>
      </c>
      <c r="I25" s="662">
        <f t="shared" ca="1" si="8"/>
        <v>0</v>
      </c>
      <c r="J25" s="662">
        <f t="shared" ca="1" si="9"/>
        <v>2</v>
      </c>
      <c r="K25" s="662" t="e">
        <f ca="1">IF(OR($C25="S",$C25=0),0,MATCH(OFFSET($D25,0,$C25)+IF($C25&lt;&gt;1,1,COUNTIF(QCI!$A$13:$A$24,ORÇAMENTO!E25)),OFFSET($D25,1,$C25,ROW($C$27)-ROW($C25)),0))</f>
        <v>#N/A</v>
      </c>
      <c r="L25" s="115" t="str">
        <f t="shared" ca="1" si="10"/>
        <v>F</v>
      </c>
      <c r="M25" s="116" t="s">
        <v>705</v>
      </c>
      <c r="N25" s="117" t="str">
        <f t="shared" ca="1" si="11"/>
        <v>Nível 2</v>
      </c>
      <c r="O25" s="118" t="str">
        <f t="shared" ca="1" si="12"/>
        <v>1.3.</v>
      </c>
      <c r="P25" s="119" t="s">
        <v>753</v>
      </c>
      <c r="Q25" s="120"/>
      <c r="R25" s="121" t="s">
        <v>940</v>
      </c>
      <c r="S25" s="122" t="str">
        <f ca="1">REFERENCIA.Unidade</f>
        <v>-</v>
      </c>
      <c r="T25" s="123">
        <f ca="1">OFFSET(CÁLCULO!H$15,ROW($T25)-ROW(T$15),0)</f>
        <v>0</v>
      </c>
      <c r="U25" s="124"/>
      <c r="V25" s="125" t="s">
        <v>665</v>
      </c>
      <c r="W25" s="123">
        <f ca="1">IF($C25="S",ROUND(IF(TIPOORCAMENTO="Proposto",ORÇAMENTO.CustoUnitario*(1+$AH25),ORÇAMENTO.PrecoUnitarioLicitado),15-13*$AF$10),0)</f>
        <v>0</v>
      </c>
      <c r="X25" s="126" cm="1">
        <f t="array" aca="1" ref="X25" ca="1">IF($C25="S",IF(OR(Import.TipoArredondamento&lt;&gt;"TransfereGOV",ACOMPANHAMENTO="BM"),VTOTAL1,SUM(OFFSET(CÁLCULO!$AA$15,ROW($X25)-ROW($X$15),1):OFFSET(CÁLCULO!$AL$15,ROW($X25)-ROW($X$15),-1))),IF($C25=0,0,ROUND(SomaAgrup,15-13*$AF$11)))</f>
        <v>0</v>
      </c>
      <c r="Y25" s="127" t="s">
        <v>754</v>
      </c>
      <c r="Z25" s="662" t="str">
        <f t="shared" ca="1" si="13"/>
        <v/>
      </c>
      <c r="AA25" s="128">
        <f ca="1">IF($C25="S",IF($Z25="CP",$X25,IF($Z25="RA",(($X25)*QCI!$AA$3),0)),SomaAgrup)</f>
        <v>0</v>
      </c>
      <c r="AB25" s="129">
        <f t="shared" ca="1" si="14"/>
        <v>0</v>
      </c>
      <c r="AC25" s="571" t="str">
        <f ca="1">IF($N25=""," ",
IF(AND($C25&lt;&gt;"S",OR($R25="",$R25="(digite a descrição aqui)")),"DESCRIÇÃO",
IF(AND($C25="S",OR($Q25&lt;&gt;0,$T25&gt;0,$U25&gt;0),$P25=0),"FONTE",
IF(AND($C25="S",$P25&lt;&gt;0,OR($T25&gt;0,$U25&gt;0),$Q25=0),"CÓDIGO",
IF(AND($C25="S",$P25&lt;&gt;0,$Q25&lt;&gt;0,$R25="(Código não identificado nas referências)"),"CÓDIGO N/ID",
IF(AND($C25="S",OR($R25="",$R25="(digite a descrição aqui)"),OR($Q25&lt;&gt;0,$T25&gt;0,$U25&gt;0)),"DESCRIÇÃO",
IF(AND($C25="S",$P25&lt;&gt;0,$Q25&lt;&gt;0,$S25=""),"UNIDADE",
IF(AND($C25="S",$P25&lt;&gt;0,$Q25&lt;&gt;0,$U25=0),"SEM CUSTO",
IF(AND(TIPOORCAMENTO="Licitado",$AL25=0,$AN25&gt;0),"SEM PREÇO",
IF(AND($C25="S",$P25&lt;&gt;0,$Q25&lt;&gt;0,$U25&gt;0,$V25=0),"BDI",
IF(OR(AND(TIPOORCAMENTO="Proposto",$AG25&lt;&gt;"",$AG25&gt;0,ORÇAMENTO.CustoUnitario&gt;$AG25),AND(TIPOORCAMENTO="LICITADO",ORÇAMENTO.PrecoUnitarioLicitado&gt;$AN25)),"ACIMA REF.",
IF(AND($C25="S",$P25&lt;&gt;0,$Q25&lt;&gt;0,$T25=0,$U25&gt;0),"QUANT.",
IF(AND(Import.TipoArredondamento="TransfereGOV",$L25="F",$C25="S",LEN($Q25)&gt;13),"Código &gt;13",
IF(AND(Import.TipoArredondamento="TransfereGOV",$L25="F",$C25&lt;&gt;"S",LEN($R25)&gt;100),"Descrição &gt;100",
IF(AND(Import.TipoArredondamento="TransfereGOV",$L25="F",$C25="S",LEN($R25)&gt;500),"Descrição &gt;500",
IF(AND(Import.TipoArredondamento="TransfereGOV",$L25="F",$C25="S",LEFT(TRIM(UPPER($P25)),6)&lt;&gt;"SINAPI",ISNA(VLOOKUP(TRIM(UPPER($S25)),ListaTgov.Unidades,1,FALSE))),"Unid. Não Disp",
" "))))))))))))))))</f>
        <v xml:space="preserve"> </v>
      </c>
      <c r="AD25" s="662">
        <f ca="1">IF(C25&lt;=CRONO.NivelExibicao,MAX($AD$15:OFFSET(AD25,-1,0))+IF($C25&lt;&gt;1,1,MAX(1,COUNTIF(QCI!$A$13:$A$24,OFFSET($E25,-1,0)))),"")</f>
        <v>4</v>
      </c>
      <c r="AE25" s="660" t="b">
        <f ca="1">IF(AND($C25="S",ORÇAMENTO.CodBarra&lt;&gt;""),IF(ORÇAMENTO.Fonte="",ORÇAMENTO.CodBarra,CONCATENATE(ORÇAMENTO.Fonte," ",ORÇAMENTO.CodBarra)))</f>
        <v>0</v>
      </c>
      <c r="AF25" s="661" t="str">
        <f ca="1">IF(ISERROR(INDIRECT(ORÇAMENTO.BancoRef)),"(abra o arquivo 'Referência "&amp;Excel_BuiltIn_Database&amp;".xlsm)",IF(OR($C25&lt;&gt;"S",ORÇAMENTO.CodBarra=""),"(Sem Código)",IF(ISERROR(MATCH($AE25,INDIRECT(ORÇAMENTO.BancoRef),0)),"(Código não identificado nas referências)",MATCH($AE25,INDIRECT(ORÇAMENTO.BancoRef),0))))</f>
        <v>(abra o arquivo 'Referência 03-2025.xlsm)</v>
      </c>
      <c r="AG25" s="429">
        <f ca="1">ROUND(IF(DESONERACAO="sim",REFERENCIA.Desonerado,REFERENCIA.NaoDesonerado),2)</f>
        <v>0</v>
      </c>
      <c r="AH25" s="430">
        <f t="shared" ca="1" si="15"/>
        <v>0.2354</v>
      </c>
      <c r="AJ25" s="432"/>
      <c r="AL25" s="440"/>
      <c r="AM25" s="337">
        <f t="shared" ca="1" si="0"/>
        <v>0</v>
      </c>
      <c r="AN25" s="471">
        <f t="shared" ca="1" si="16"/>
        <v>0</v>
      </c>
    </row>
    <row r="26" spans="1:40" s="662" customFormat="1" ht="25.5" x14ac:dyDescent="0.2">
      <c r="A26" s="662" t="str">
        <f t="shared" si="1"/>
        <v>S</v>
      </c>
      <c r="B26" s="662">
        <f t="shared" ca="1" si="2"/>
        <v>2</v>
      </c>
      <c r="C26" s="662" t="str">
        <f t="shared" ca="1" si="3"/>
        <v>S</v>
      </c>
      <c r="D26" s="662">
        <f t="shared" ca="1" si="4"/>
        <v>0</v>
      </c>
      <c r="E26" s="662">
        <f ca="1">IF($C26=1,OFFSET(E26,-1,0)+MAX(1,COUNTIF(QCI!$A$13:$A$24,OFFSET(ORÇAMENTO!E26,-1,0))),OFFSET(E26,-1,0))</f>
        <v>1</v>
      </c>
      <c r="F26" s="662">
        <f t="shared" ca="1" si="5"/>
        <v>3</v>
      </c>
      <c r="G26" s="662">
        <f t="shared" ca="1" si="6"/>
        <v>0</v>
      </c>
      <c r="H26" s="662">
        <f t="shared" ca="1" si="7"/>
        <v>0</v>
      </c>
      <c r="I26" s="662">
        <f t="shared" ca="1" si="8"/>
        <v>0</v>
      </c>
      <c r="J26" s="662">
        <f t="shared" ca="1" si="9"/>
        <v>0</v>
      </c>
      <c r="K26" s="662">
        <f ca="1">IF(OR($C26="S",$C26=0),0,MATCH(OFFSET($D26,0,$C26)+IF($C26&lt;&gt;1,1,COUNTIF(QCI!$A$13:$A$24,ORÇAMENTO!E26)),OFFSET($D26,1,$C26,ROW($C$27)-ROW($C26)),0))</f>
        <v>0</v>
      </c>
      <c r="L26" s="115" t="str">
        <f t="shared" ca="1" si="10"/>
        <v/>
      </c>
      <c r="M26" s="116" t="s">
        <v>708</v>
      </c>
      <c r="N26" s="117" t="str">
        <f t="shared" ca="1" si="11"/>
        <v>Serviço</v>
      </c>
      <c r="O26" s="118" t="str">
        <f t="shared" ca="1" si="12"/>
        <v>-</v>
      </c>
      <c r="P26" s="119" t="s">
        <v>753</v>
      </c>
      <c r="Q26" s="120" t="s">
        <v>941</v>
      </c>
      <c r="R26" s="121" t="str">
        <f ca="1">IF($C26="S",REFERENCIA.Descricao,"(digite a descrição aqui)")</f>
        <v>(abra o arquivo 'Referência 03-2025.xlsm)</v>
      </c>
      <c r="S26" s="122" t="str">
        <f ca="1">REFERENCIA.Unidade</f>
        <v>-</v>
      </c>
      <c r="T26" s="123">
        <f ca="1">OFFSET(CÁLCULO!H$15,ROW($T26)-ROW(T$15),0)</f>
        <v>100</v>
      </c>
      <c r="U26" s="124">
        <f t="shared" ref="U26" ca="1" si="19">AG26</f>
        <v>0</v>
      </c>
      <c r="V26" s="125" t="s">
        <v>665</v>
      </c>
      <c r="W26" s="123">
        <f ca="1">IF($C26="S",ROUND(IF(TIPOORCAMENTO="Proposto",ORÇAMENTO.CustoUnitario*(1+$AH26),ORÇAMENTO.PrecoUnitarioLicitado),15-13*$AF$10),0)</f>
        <v>0</v>
      </c>
      <c r="X26" s="126" cm="1">
        <f t="array" aca="1" ref="X26" ca="1">IF($C26="S",IF(OR(Import.TipoArredondamento&lt;&gt;"TransfereGOV",ACOMPANHAMENTO="BM"),VTOTAL1,SUM(OFFSET(CÁLCULO!$AA$15,ROW($X26)-ROW($X$15),1):OFFSET(CÁLCULO!$AL$15,ROW($X26)-ROW($X$15),-1))),IF($C26=0,0,ROUND(SomaAgrup,15-13*$AF$11)))</f>
        <v>0</v>
      </c>
      <c r="Y26" s="127" t="s">
        <v>754</v>
      </c>
      <c r="Z26" s="662" t="str">
        <f t="shared" ca="1" si="13"/>
        <v/>
      </c>
      <c r="AA26" s="128">
        <f ca="1">IF($C26="S",IF($Z26="CP",$X26,IF($Z26="RA",(($X26)*QCI!$AA$3),0)),SomaAgrup)</f>
        <v>0</v>
      </c>
      <c r="AB26" s="129">
        <f t="shared" ca="1" si="14"/>
        <v>0</v>
      </c>
      <c r="AC26" s="571" t="str">
        <f ca="1">IF($N26=""," ",
IF(AND($C26&lt;&gt;"S",OR($R26="",$R26="(digite a descrição aqui)")),"DESCRIÇÃO",
IF(AND($C26="S",OR($Q26&lt;&gt;0,$T26&gt;0,$U26&gt;0),$P26=0),"FONTE",
IF(AND($C26="S",$P26&lt;&gt;0,OR($T26&gt;0,$U26&gt;0),$Q26=0),"CÓDIGO",
IF(AND($C26="S",$P26&lt;&gt;0,$Q26&lt;&gt;0,$R26="(Código não identificado nas referências)"),"CÓDIGO N/ID",
IF(AND($C26="S",OR($R26="",$R26="(digite a descrição aqui)"),OR($Q26&lt;&gt;0,$T26&gt;0,$U26&gt;0)),"DESCRIÇÃO",
IF(AND($C26="S",$P26&lt;&gt;0,$Q26&lt;&gt;0,$S26=""),"UNIDADE",
IF(AND($C26="S",$P26&lt;&gt;0,$Q26&lt;&gt;0,$U26=0),"SEM CUSTO",
IF(AND(TIPOORCAMENTO="Licitado",$AL26=0,$AN26&gt;0),"SEM PREÇO",
IF(AND($C26="S",$P26&lt;&gt;0,$Q26&lt;&gt;0,$U26&gt;0,$V26=0),"BDI",
IF(OR(AND(TIPOORCAMENTO="Proposto",$AG26&lt;&gt;"",$AG26&gt;0,ORÇAMENTO.CustoUnitario&gt;$AG26),AND(TIPOORCAMENTO="LICITADO",ORÇAMENTO.PrecoUnitarioLicitado&gt;$AN26)),"ACIMA REF.",
IF(AND($C26="S",$P26&lt;&gt;0,$Q26&lt;&gt;0,$T26=0,$U26&gt;0),"QUANT.",
IF(AND(Import.TipoArredondamento="TransfereGOV",$L26="F",$C26="S",LEN($Q26)&gt;13),"Código &gt;13",
IF(AND(Import.TipoArredondamento="TransfereGOV",$L26="F",$C26&lt;&gt;"S",LEN($R26)&gt;100),"Descrição &gt;100",
IF(AND(Import.TipoArredondamento="TransfereGOV",$L26="F",$C26="S",LEN($R26)&gt;500),"Descrição &gt;500",
IF(AND(Import.TipoArredondamento="TransfereGOV",$L26="F",$C26="S",LEFT(TRIM(UPPER($P26)),6)&lt;&gt;"SINAPI",ISNA(VLOOKUP(TRIM(UPPER($S26)),ListaTgov.Unidades,1,FALSE))),"Unid. Não Disp",
" "))))))))))))))))</f>
        <v>SEM CUSTO</v>
      </c>
      <c r="AD26" s="662" t="str">
        <f ca="1">IF(C26&lt;=CRONO.NivelExibicao,MAX($AD$15:OFFSET(AD26,-1,0))+IF($C26&lt;&gt;1,1,MAX(1,COUNTIF(QCI!$A$13:$A$24,OFFSET($E26,-1,0)))),"")</f>
        <v/>
      </c>
      <c r="AE26" s="660" t="str">
        <f ca="1">IF(AND($C26="S",ORÇAMENTO.CodBarra&lt;&gt;""),IF(ORÇAMENTO.Fonte="",ORÇAMENTO.CodBarra,CONCATENATE(ORÇAMENTO.Fonte," ",ORÇAMENTO.CodBarra)))</f>
        <v>SINAPI 94213</v>
      </c>
      <c r="AF26" s="661" t="str">
        <f ca="1">IF(ISERROR(INDIRECT(ORÇAMENTO.BancoRef)),"(abra o arquivo 'Referência "&amp;Excel_BuiltIn_Database&amp;".xlsm)",IF(OR($C26&lt;&gt;"S",ORÇAMENTO.CodBarra=""),"(Sem Código)",IF(ISERROR(MATCH($AE26,INDIRECT(ORÇAMENTO.BancoRef),0)),"(Código não identificado nas referências)",MATCH($AE26,INDIRECT(ORÇAMENTO.BancoRef),0))))</f>
        <v>(abra o arquivo 'Referência 03-2025.xlsm)</v>
      </c>
      <c r="AG26" s="429">
        <f ca="1">ROUND(IF(DESONERACAO="sim",REFERENCIA.Desonerado,REFERENCIA.NaoDesonerado),2)</f>
        <v>0</v>
      </c>
      <c r="AH26" s="430">
        <f t="shared" ca="1" si="15"/>
        <v>0.2354</v>
      </c>
      <c r="AJ26" s="432">
        <f>10*10</f>
        <v>100</v>
      </c>
      <c r="AL26" s="440"/>
      <c r="AM26" s="337">
        <f t="shared" ca="1" si="0"/>
        <v>0</v>
      </c>
      <c r="AN26" s="471">
        <f t="shared" ca="1" si="16"/>
        <v>0</v>
      </c>
    </row>
    <row r="27" spans="1:40" ht="5.0999999999999996" customHeight="1" x14ac:dyDescent="0.2">
      <c r="A27">
        <v>-1</v>
      </c>
      <c r="C27">
        <v>-1</v>
      </c>
      <c r="E27">
        <v>0</v>
      </c>
      <c r="F27">
        <v>0</v>
      </c>
      <c r="G27">
        <v>0</v>
      </c>
      <c r="H27">
        <v>0</v>
      </c>
      <c r="I27">
        <v>0</v>
      </c>
      <c r="L27" s="115" t="s">
        <v>538</v>
      </c>
      <c r="M27" s="624"/>
      <c r="N27" s="425"/>
      <c r="O27" s="624"/>
      <c r="P27" s="625"/>
      <c r="Q27" s="625"/>
      <c r="R27" s="625"/>
      <c r="S27" s="625"/>
      <c r="T27" s="625"/>
      <c r="U27" s="625"/>
      <c r="V27" s="625"/>
      <c r="W27" s="625"/>
      <c r="X27" s="425"/>
      <c r="Y27" s="425"/>
      <c r="AC27" s="571" t="str">
        <f>IF($N27=""," ",
IF(AND($C27&lt;&gt;"S",OR($R27="",$R27="(digite a descrição aqui)")),"DESCRIÇÃO",
IF(AND($C27="S",OR($Q27&lt;&gt;0,$T27&gt;0,$U27&gt;0),$P27=0),"FONTE",
IF(AND($C27="S",$P27&lt;&gt;0,OR($T27&gt;0,$U27&gt;0),$Q27=0),"CÓDIGO",
IF(AND($C27="S",$P27&lt;&gt;0,$Q27&lt;&gt;0,$R27="(Código não identificado nas referências)"),"CÓDIGO N/ID",
IF(AND($C27="S",OR($R27="",$R27="(digite a descrição aqui)"),OR($Q27&lt;&gt;0,$T27&gt;0,$U27&gt;0)),"DESCRIÇÃO",
IF(AND($C27="S",$P27&lt;&gt;0,$Q27&lt;&gt;0,$S27=""),"UNIDADE",
IF(AND($C27="S",$P27&lt;&gt;0,$Q27&lt;&gt;0,$U27=0),"SEM CUSTO",
IF(AND(TIPOORCAMENTO="Licitado",$AL27=0,$AN27&gt;0),"SEM PREÇO",
IF(AND($C27="S",$P27&lt;&gt;0,$Q27&lt;&gt;0,$U27&gt;0,$V27=0),"BDI",
IF(OR(AND(TIPOORCAMENTO="Proposto",$AG27&lt;&gt;"",$AG27&gt;0,ORÇAMENTO.CustoUnitario&gt;$AG27),AND(TIPOORCAMENTO="LICITADO",ORÇAMENTO.PrecoUnitarioLicitado&gt;$AN27)),"ACIMA REF.",
IF(AND($C27="S",$P27&lt;&gt;0,$Q27&lt;&gt;0,$T27=0,$U27&gt;0),"QUANT.",
IF(AND(Import.TipoArredondamento="TransfereGOV",$L27="F",$C27="S",LEN($Q27)&gt;13),"Código &gt;13",
IF(AND(Import.TipoArredondamento="TransfereGOV",$L27="F",$C27&lt;&gt;"S",LEN($R27)&gt;100),"Descrição &gt;100",
IF(AND(Import.TipoArredondamento="TransfereGOV",$L27="F",$C27="S",LEN($R27)&gt;500),"Descrição &gt;500",
IF(AND(Import.TipoArredondamento="TransfereGOV",$L27="F",$C27="S",LEFT(TRIM(UPPER($P27)),6)&lt;&gt;"SINAPI",ISNA(VLOOKUP(TRIM(UPPER($S27)),ListaTgov.Unidades,1,FALSE))),"Unid. Não Disp",
" "))))))))))))))))</f>
        <v xml:space="preserve"> </v>
      </c>
      <c r="AG27" s="626"/>
      <c r="AH27" s="420"/>
      <c r="AJ27" s="426"/>
      <c r="AL27" s="626"/>
      <c r="AM27" s="627"/>
      <c r="AN27" s="420"/>
    </row>
    <row r="30" spans="1:40" ht="14.25" x14ac:dyDescent="0.2">
      <c r="O30" s="135" t="s">
        <v>756</v>
      </c>
      <c r="Q30" s="710" t="s">
        <v>757</v>
      </c>
      <c r="R30" s="710"/>
      <c r="S30" s="710"/>
      <c r="T30" s="710"/>
      <c r="U30" s="710"/>
      <c r="V30" s="710"/>
      <c r="W30" s="710"/>
      <c r="X30" s="710"/>
    </row>
    <row r="32" spans="1:40" ht="14.25" x14ac:dyDescent="0.2">
      <c r="O32" s="136" t="s">
        <v>692</v>
      </c>
      <c r="X32" s="4"/>
    </row>
    <row r="33" spans="15:28" ht="12.75" customHeight="1" x14ac:dyDescent="0.2">
      <c r="O33" s="711"/>
      <c r="P33" s="711"/>
      <c r="Q33" s="711"/>
      <c r="R33" s="711"/>
      <c r="S33" s="711"/>
      <c r="T33" s="711"/>
      <c r="U33" s="711"/>
      <c r="V33" s="711"/>
      <c r="W33" s="711"/>
      <c r="X33" s="711"/>
    </row>
    <row r="34" spans="15:28" x14ac:dyDescent="0.2">
      <c r="O34" s="711"/>
      <c r="P34" s="711"/>
      <c r="Q34" s="711"/>
      <c r="R34" s="711"/>
      <c r="S34" s="711"/>
      <c r="T34" s="711"/>
      <c r="U34" s="711"/>
      <c r="V34" s="711"/>
      <c r="W34" s="711"/>
      <c r="X34" s="711"/>
    </row>
    <row r="35" spans="15:28" x14ac:dyDescent="0.2">
      <c r="O35" s="711"/>
      <c r="P35" s="711"/>
      <c r="Q35" s="711"/>
      <c r="R35" s="711"/>
      <c r="S35" s="711"/>
      <c r="T35" s="711"/>
      <c r="U35" s="711"/>
      <c r="V35" s="711"/>
      <c r="W35" s="711"/>
      <c r="X35" s="711"/>
    </row>
    <row r="36" spans="15:28" ht="14.25" x14ac:dyDescent="0.2">
      <c r="O36" s="444"/>
      <c r="P36" s="444"/>
      <c r="Q36" s="444"/>
      <c r="R36" s="444"/>
      <c r="S36" s="444"/>
      <c r="T36" s="444"/>
      <c r="U36" s="444"/>
      <c r="V36" s="444"/>
      <c r="W36" s="444"/>
      <c r="X36" s="444"/>
      <c r="Y36" s="444"/>
      <c r="Z36" s="137"/>
      <c r="AA36" s="137"/>
      <c r="AB36" s="137"/>
    </row>
    <row r="37" spans="15:28" ht="15" x14ac:dyDescent="0.25">
      <c r="O37" s="712" t="str">
        <f>IF(AND($AF$7=FALSE,$AF$8=FALSE,$AF$9=FALSE,$AF$10=FALSE,$AF$11=FALSE),"Não foi considerado arredondamento nos valores da planilha.",CONCATENATE("Foi considerado arredondamento de duas casas decimais para ",IF($AF$7=TRUE,"Quantidade; ",""),IF($AF$8=TRUE,"Custo Unitário; ",""),IF($AF$9=TRUE,"BDI; ",""),IF($AF$10=TRUE,"Preço Unitário; ",""),IF($AF$11=TRUE,"Preço Total.","")))</f>
        <v>Foi considerado arredondamento de duas casas decimais para Quantidade; Custo Unitário; BDI; Preço Unitário; Preço Total.</v>
      </c>
      <c r="P37" s="712"/>
      <c r="Q37" s="712"/>
      <c r="R37" s="712"/>
      <c r="S37" s="712"/>
      <c r="T37" s="712"/>
      <c r="U37" s="712"/>
      <c r="V37" s="712"/>
      <c r="W37" s="712"/>
      <c r="X37" s="712"/>
      <c r="Y37" s="138"/>
      <c r="Z37" s="138"/>
      <c r="AA37" s="138"/>
      <c r="AB37" s="138"/>
    </row>
    <row r="38" spans="15:28" ht="15" customHeight="1" x14ac:dyDescent="0.25">
      <c r="O38" s="714" t="s">
        <v>758</v>
      </c>
      <c r="P38" s="714"/>
      <c r="Q38" s="714"/>
      <c r="R38" s="714"/>
      <c r="S38" s="714"/>
      <c r="T38" s="714"/>
      <c r="U38" s="714"/>
      <c r="V38" s="714"/>
      <c r="W38" s="714"/>
      <c r="X38" s="714"/>
      <c r="Y38" s="138"/>
      <c r="Z38" s="138"/>
      <c r="AA38" s="138"/>
      <c r="AB38" s="138"/>
    </row>
    <row r="40" spans="15:28" ht="30" customHeight="1" x14ac:dyDescent="0.2">
      <c r="O40" s="713" t="str">
        <f>Import.Município</f>
        <v>CAÇAPAVA DO SUL/RS</v>
      </c>
      <c r="P40" s="713"/>
      <c r="Q40" s="713"/>
      <c r="S40" s="461"/>
      <c r="T40" s="461"/>
      <c r="U40" s="461"/>
      <c r="V40" s="461"/>
      <c r="W40" s="418"/>
    </row>
    <row r="41" spans="15:28" x14ac:dyDescent="0.2">
      <c r="O41" s="9" t="s">
        <v>696</v>
      </c>
      <c r="S41" s="182" t="s">
        <v>699</v>
      </c>
      <c r="T41" s="182"/>
      <c r="U41" s="182"/>
      <c r="V41" s="182"/>
    </row>
    <row r="42" spans="15:28" x14ac:dyDescent="0.2">
      <c r="S42" s="77" t="s">
        <v>241</v>
      </c>
      <c r="T42" s="78" t="str">
        <f t="array" ref="T42:T44">Import.RespOrçamento</f>
        <v>HELMESONA DE O. SANTANA</v>
      </c>
      <c r="V42" s="79"/>
    </row>
    <row r="43" spans="15:28" x14ac:dyDescent="0.2">
      <c r="O43" s="707">
        <f>DADOS!$C$25</f>
        <v>45803</v>
      </c>
      <c r="P43" s="707"/>
      <c r="Q43" s="707"/>
      <c r="S43" s="77" t="s">
        <v>244</v>
      </c>
      <c r="T43" s="78" t="str">
        <v>CREA RS152843</v>
      </c>
      <c r="U43" s="79"/>
      <c r="V43" s="79"/>
    </row>
    <row r="44" spans="15:28" x14ac:dyDescent="0.2">
      <c r="O44" s="141" t="s">
        <v>697</v>
      </c>
      <c r="P44" s="1"/>
      <c r="Q44" s="1"/>
      <c r="S44" s="77" t="s">
        <v>247</v>
      </c>
      <c r="T44" s="78" t="str">
        <v>ART 8809670</v>
      </c>
      <c r="U44" s="79"/>
      <c r="V44" s="79"/>
    </row>
  </sheetData>
  <sheetProtection password="BD1F" sheet="1" objects="1" scenarios="1" autoFilter="0"/>
  <autoFilter ref="L15:L27"/>
  <mergeCells count="24">
    <mergeCell ref="O43:Q43"/>
    <mergeCell ref="O15:R15"/>
    <mergeCell ref="Q30:X30"/>
    <mergeCell ref="O33:X35"/>
    <mergeCell ref="O37:X37"/>
    <mergeCell ref="O40:Q40"/>
    <mergeCell ref="O38:X38"/>
    <mergeCell ref="O4:P4"/>
    <mergeCell ref="S4:X4"/>
    <mergeCell ref="O5:P5"/>
    <mergeCell ref="S5:X5"/>
    <mergeCell ref="F8:K8"/>
    <mergeCell ref="L8:L12"/>
    <mergeCell ref="O8:P8"/>
    <mergeCell ref="S8:U8"/>
    <mergeCell ref="F9:K9"/>
    <mergeCell ref="AE5:AF5"/>
    <mergeCell ref="O7:P7"/>
    <mergeCell ref="S7:U7"/>
    <mergeCell ref="AL7:AL11"/>
    <mergeCell ref="Y8:Y12"/>
    <mergeCell ref="Z8:Z12"/>
    <mergeCell ref="AA12:AB12"/>
    <mergeCell ref="AJ7:AJ11"/>
  </mergeCells>
  <phoneticPr fontId="38" type="noConversion"/>
  <conditionalFormatting sqref="M14 M16:M18 M20:M23">
    <cfRule type="cellIs" dxfId="310" priority="25921" stopIfTrue="1" operator="notEqual">
      <formula>$N14</formula>
    </cfRule>
  </conditionalFormatting>
  <conditionalFormatting sqref="N14:O14 R14 W14 N16:O18 R16:R18 W16:X18 W20:X23 R20:R23 N20:O23">
    <cfRule type="expression" dxfId="309" priority="25922" stopIfTrue="1">
      <formula>$C14=1</formula>
    </cfRule>
    <cfRule type="expression" dxfId="308" priority="25923" stopIfTrue="1">
      <formula>OR($C14=0,$C14=2,$C14=3,$C14=4)</formula>
    </cfRule>
  </conditionalFormatting>
  <conditionalFormatting sqref="U14:V14 U16:V18 U20:V22 U19">
    <cfRule type="expression" dxfId="307" priority="25924" stopIfTrue="1">
      <formula>$C14=1</formula>
    </cfRule>
    <cfRule type="expression" dxfId="306" priority="25925" stopIfTrue="1">
      <formula>OR($C14=0,$C14=2,$C14=3,$C14=4)</formula>
    </cfRule>
    <cfRule type="expression" dxfId="305" priority="25926" stopIfTrue="1">
      <formula>AND(TIPOORCAMENTO="Licitado",$C14&lt;&gt;"L",$C14&lt;&gt;-1)</formula>
    </cfRule>
  </conditionalFormatting>
  <conditionalFormatting sqref="P14:Q14 S14:T14 Y14 AG14:AH14 S16:T18 Y16:Y18 AG16:AH18 P18:Q18 P20:Q23 AG20:AH23 Y20:Y23 S20:T23">
    <cfRule type="expression" dxfId="304" priority="25927" stopIfTrue="1">
      <formula>$C14=1</formula>
    </cfRule>
    <cfRule type="expression" dxfId="303" priority="25928" stopIfTrue="1">
      <formula>OR($C14=0,$C14=2,$C14=3,$C14=4)</formula>
    </cfRule>
  </conditionalFormatting>
  <conditionalFormatting sqref="AJ27 AJ7:AJ18 AJ20:AJ23">
    <cfRule type="expression" dxfId="302" priority="25929" stopIfTrue="1">
      <formula>OR(ACOMPANHAMENTO&lt;&gt;"BM",TIPOORCAMENTO="Licitado")</formula>
    </cfRule>
    <cfRule type="expression" dxfId="301" priority="25930" stopIfTrue="1">
      <formula>$C7=1</formula>
    </cfRule>
    <cfRule type="expression" dxfId="300" priority="25931" stopIfTrue="1">
      <formula>OR(AND(ISNUMBER($C7),$C7=0),$C7=2,$C7=3,$C7=4)</formula>
    </cfRule>
  </conditionalFormatting>
  <conditionalFormatting sqref="AL27 AL7:AL18 AL20:AL23">
    <cfRule type="expression" dxfId="299" priority="25932" stopIfTrue="1">
      <formula>TIPOORCAMENTO="PROPOSTO"</formula>
    </cfRule>
    <cfRule type="expression" dxfId="298" priority="25933" stopIfTrue="1">
      <formula>$C7=1</formula>
    </cfRule>
    <cfRule type="expression" dxfId="297" priority="25934" stopIfTrue="1">
      <formula>OR(AND(ISNUMBER($C7),$C7=0),$C7=2,$C7=3,$C7=4)</formula>
    </cfRule>
  </conditionalFormatting>
  <conditionalFormatting sqref="O8:P8">
    <cfRule type="expression" dxfId="296" priority="25938" stopIfTrue="1">
      <formula>ISERROR(INDIRECT($F$9))</formula>
    </cfRule>
  </conditionalFormatting>
  <conditionalFormatting sqref="S7:V8">
    <cfRule type="expression" dxfId="295" priority="25939" stopIfTrue="1">
      <formula>TIPOORCAMENTO="Proposto"</formula>
    </cfRule>
  </conditionalFormatting>
  <conditionalFormatting sqref="S9:V9">
    <cfRule type="expression" dxfId="294" priority="25886" stopIfTrue="1">
      <formula>TIPOORCAMENTO="Proposto"</formula>
    </cfRule>
  </conditionalFormatting>
  <conditionalFormatting sqref="AM27:AN27 AM7:AN18 AM20:AN23">
    <cfRule type="expression" dxfId="293" priority="25935" stopIfTrue="1">
      <formula>TIPOORCAMENTO="PROPOSTO"</formula>
    </cfRule>
    <cfRule type="expression" dxfId="292" priority="25936" stopIfTrue="1">
      <formula>$C7=1</formula>
    </cfRule>
    <cfRule type="expression" dxfId="291" priority="25937" stopIfTrue="1">
      <formula>OR(AND(ISNUMBER($C7),$C7=0),$C7=2,$C7=3,$C7=4)</formula>
    </cfRule>
  </conditionalFormatting>
  <conditionalFormatting sqref="R14 R16:R18 R20:R23">
    <cfRule type="beginsWith" dxfId="290" priority="13231" operator="beginsWith" text="(">
      <formula>LEFT(R14,LEN("("))="("</formula>
    </cfRule>
  </conditionalFormatting>
  <conditionalFormatting sqref="X14">
    <cfRule type="expression" dxfId="289" priority="11511" stopIfTrue="1">
      <formula>$C14=1</formula>
    </cfRule>
    <cfRule type="expression" dxfId="288" priority="11512" stopIfTrue="1">
      <formula>OR($C14=0,$C14=2,$C14=3,$C14=4)</formula>
    </cfRule>
  </conditionalFormatting>
  <conditionalFormatting sqref="AC11">
    <cfRule type="cellIs" dxfId="287" priority="2346" operator="equal">
      <formula>"OK"</formula>
    </cfRule>
  </conditionalFormatting>
  <conditionalFormatting sqref="P16:Q17">
    <cfRule type="expression" dxfId="286" priority="452" stopIfTrue="1">
      <formula>$C16=1</formula>
    </cfRule>
    <cfRule type="expression" dxfId="285" priority="453" stopIfTrue="1">
      <formula>OR($C16=0,$C16=2,$C16=3,$C16=4)</formula>
    </cfRule>
  </conditionalFormatting>
  <conditionalFormatting sqref="M25:M26">
    <cfRule type="cellIs" dxfId="284" priority="104" stopIfTrue="1" operator="notEqual">
      <formula>$N25</formula>
    </cfRule>
  </conditionalFormatting>
  <conditionalFormatting sqref="W25:W26 R25:R26 N25:O26">
    <cfRule type="expression" dxfId="283" priority="105" stopIfTrue="1">
      <formula>$C25=1</formula>
    </cfRule>
    <cfRule type="expression" dxfId="282" priority="106" stopIfTrue="1">
      <formula>OR($C25=0,$C25=2,$C25=3,$C25=4)</formula>
    </cfRule>
  </conditionalFormatting>
  <conditionalFormatting sqref="U25:V26 V23 U23:U24">
    <cfRule type="expression" dxfId="281" priority="107" stopIfTrue="1">
      <formula>$C23=1</formula>
    </cfRule>
    <cfRule type="expression" dxfId="280" priority="108" stopIfTrue="1">
      <formula>OR($C23=0,$C23=2,$C23=3,$C23=4)</formula>
    </cfRule>
    <cfRule type="expression" dxfId="279" priority="109" stopIfTrue="1">
      <formula>AND(TIPOORCAMENTO="Licitado",$C23&lt;&gt;"L",$C23&lt;&gt;-1)</formula>
    </cfRule>
  </conditionalFormatting>
  <conditionalFormatting sqref="AG25:AH26 Y25:Y26 S25:T26 P25:Q26">
    <cfRule type="expression" dxfId="278" priority="110" stopIfTrue="1">
      <formula>$C25=1</formula>
    </cfRule>
    <cfRule type="expression" dxfId="277" priority="111" stopIfTrue="1">
      <formula>OR($C25=0,$C25=2,$C25=3,$C25=4)</formula>
    </cfRule>
  </conditionalFormatting>
  <conditionalFormatting sqref="AJ25:AJ26">
    <cfRule type="expression" dxfId="276" priority="112" stopIfTrue="1">
      <formula>OR(ACOMPANHAMENTO&lt;&gt;"BM",TIPOORCAMENTO="Licitado")</formula>
    </cfRule>
    <cfRule type="expression" dxfId="275" priority="113" stopIfTrue="1">
      <formula>$C25=1</formula>
    </cfRule>
    <cfRule type="expression" dxfId="274" priority="114" stopIfTrue="1">
      <formula>OR(AND(ISNUMBER($C25),$C25=0),$C25=2,$C25=3,$C25=4)</formula>
    </cfRule>
  </conditionalFormatting>
  <conditionalFormatting sqref="AL25:AL26">
    <cfRule type="expression" dxfId="273" priority="115" stopIfTrue="1">
      <formula>TIPOORCAMENTO="PROPOSTO"</formula>
    </cfRule>
    <cfRule type="expression" dxfId="272" priority="116" stopIfTrue="1">
      <formula>$C25=1</formula>
    </cfRule>
    <cfRule type="expression" dxfId="271" priority="117" stopIfTrue="1">
      <formula>OR(AND(ISNUMBER($C25),$C25=0),$C25=2,$C25=3,$C25=4)</formula>
    </cfRule>
  </conditionalFormatting>
  <conditionalFormatting sqref="AM25:AN26">
    <cfRule type="expression" dxfId="270" priority="118" stopIfTrue="1">
      <formula>TIPOORCAMENTO="PROPOSTO"</formula>
    </cfRule>
    <cfRule type="expression" dxfId="269" priority="119" stopIfTrue="1">
      <formula>$C25=1</formula>
    </cfRule>
    <cfRule type="expression" dxfId="268" priority="120" stopIfTrue="1">
      <formula>OR(AND(ISNUMBER($C25),$C25=0),$C25=2,$C25=3,$C25=4)</formula>
    </cfRule>
  </conditionalFormatting>
  <conditionalFormatting sqref="R25:R26">
    <cfRule type="beginsWith" dxfId="267" priority="103" operator="beginsWith" text="(">
      <formula>LEFT(R25,LEN("("))="("</formula>
    </cfRule>
  </conditionalFormatting>
  <conditionalFormatting sqref="X25:X26">
    <cfRule type="expression" dxfId="266" priority="101" stopIfTrue="1">
      <formula>$C25=1</formula>
    </cfRule>
    <cfRule type="expression" dxfId="265" priority="102" stopIfTrue="1">
      <formula>OR($C25=0,$C25=2,$C25=3,$C25=4)</formula>
    </cfRule>
  </conditionalFormatting>
  <conditionalFormatting sqref="M24">
    <cfRule type="cellIs" dxfId="264" priority="24" stopIfTrue="1" operator="notEqual">
      <formula>$N24</formula>
    </cfRule>
  </conditionalFormatting>
  <conditionalFormatting sqref="N24:O24 R24 W24">
    <cfRule type="expression" dxfId="263" priority="25" stopIfTrue="1">
      <formula>$C24=1</formula>
    </cfRule>
    <cfRule type="expression" dxfId="262" priority="26" stopIfTrue="1">
      <formula>OR($C24=0,$C24=2,$C24=3,$C24=4)</formula>
    </cfRule>
  </conditionalFormatting>
  <conditionalFormatting sqref="V24">
    <cfRule type="expression" dxfId="261" priority="27" stopIfTrue="1">
      <formula>$C24=1</formula>
    </cfRule>
    <cfRule type="expression" dxfId="260" priority="28" stopIfTrue="1">
      <formula>OR($C24=0,$C24=2,$C24=3,$C24=4)</formula>
    </cfRule>
    <cfRule type="expression" dxfId="259" priority="29" stopIfTrue="1">
      <formula>AND(TIPOORCAMENTO="Licitado",$C24&lt;&gt;"L",$C24&lt;&gt;-1)</formula>
    </cfRule>
  </conditionalFormatting>
  <conditionalFormatting sqref="P24:Q24 S24:T24 Y24 AG24:AH24">
    <cfRule type="expression" dxfId="258" priority="30" stopIfTrue="1">
      <formula>$C24=1</formula>
    </cfRule>
    <cfRule type="expression" dxfId="257" priority="31" stopIfTrue="1">
      <formula>OR($C24=0,$C24=2,$C24=3,$C24=4)</formula>
    </cfRule>
  </conditionalFormatting>
  <conditionalFormatting sqref="AJ24">
    <cfRule type="expression" dxfId="256" priority="32" stopIfTrue="1">
      <formula>OR(ACOMPANHAMENTO&lt;&gt;"BM",TIPOORCAMENTO="Licitado")</formula>
    </cfRule>
    <cfRule type="expression" dxfId="255" priority="33" stopIfTrue="1">
      <formula>$C24=1</formula>
    </cfRule>
    <cfRule type="expression" dxfId="254" priority="34" stopIfTrue="1">
      <formula>OR(AND(ISNUMBER($C24),$C24=0),$C24=2,$C24=3,$C24=4)</formula>
    </cfRule>
  </conditionalFormatting>
  <conditionalFormatting sqref="AL24">
    <cfRule type="expression" dxfId="253" priority="35" stopIfTrue="1">
      <formula>TIPOORCAMENTO="PROPOSTO"</formula>
    </cfRule>
    <cfRule type="expression" dxfId="252" priority="36" stopIfTrue="1">
      <formula>$C24=1</formula>
    </cfRule>
    <cfRule type="expression" dxfId="251" priority="37" stopIfTrue="1">
      <formula>OR(AND(ISNUMBER($C24),$C24=0),$C24=2,$C24=3,$C24=4)</formula>
    </cfRule>
  </conditionalFormatting>
  <conditionalFormatting sqref="AM24:AN24">
    <cfRule type="expression" dxfId="250" priority="38" stopIfTrue="1">
      <formula>TIPOORCAMENTO="PROPOSTO"</formula>
    </cfRule>
    <cfRule type="expression" dxfId="249" priority="39" stopIfTrue="1">
      <formula>$C24=1</formula>
    </cfRule>
    <cfRule type="expression" dxfId="248" priority="40" stopIfTrue="1">
      <formula>OR(AND(ISNUMBER($C24),$C24=0),$C24=2,$C24=3,$C24=4)</formula>
    </cfRule>
  </conditionalFormatting>
  <conditionalFormatting sqref="R24">
    <cfRule type="beginsWith" dxfId="247" priority="23" operator="beginsWith" text="(">
      <formula>LEFT(R24,LEN("("))="("</formula>
    </cfRule>
  </conditionalFormatting>
  <conditionalFormatting sqref="X24">
    <cfRule type="expression" dxfId="246" priority="21" stopIfTrue="1">
      <formula>$C24=1</formula>
    </cfRule>
    <cfRule type="expression" dxfId="245" priority="22" stopIfTrue="1">
      <formula>OR($C24=0,$C24=2,$C24=3,$C24=4)</formula>
    </cfRule>
  </conditionalFormatting>
  <conditionalFormatting sqref="M19">
    <cfRule type="cellIs" dxfId="244" priority="4" stopIfTrue="1" operator="notEqual">
      <formula>$N19</formula>
    </cfRule>
  </conditionalFormatting>
  <conditionalFormatting sqref="N19:O19 R19 W19">
    <cfRule type="expression" dxfId="243" priority="5" stopIfTrue="1">
      <formula>$C19=1</formula>
    </cfRule>
    <cfRule type="expression" dxfId="242" priority="6" stopIfTrue="1">
      <formula>OR($C19=0,$C19=2,$C19=3,$C19=4)</formula>
    </cfRule>
  </conditionalFormatting>
  <conditionalFormatting sqref="V19">
    <cfRule type="expression" dxfId="241" priority="7" stopIfTrue="1">
      <formula>$C19=1</formula>
    </cfRule>
    <cfRule type="expression" dxfId="240" priority="8" stopIfTrue="1">
      <formula>OR($C19=0,$C19=2,$C19=3,$C19=4)</formula>
    </cfRule>
    <cfRule type="expression" dxfId="239" priority="9" stopIfTrue="1">
      <formula>AND(TIPOORCAMENTO="Licitado",$C19&lt;&gt;"L",$C19&lt;&gt;-1)</formula>
    </cfRule>
  </conditionalFormatting>
  <conditionalFormatting sqref="P19:Q19 S19:T19 Y19 AG19:AH19">
    <cfRule type="expression" dxfId="238" priority="10" stopIfTrue="1">
      <formula>$C19=1</formula>
    </cfRule>
    <cfRule type="expression" dxfId="237" priority="11" stopIfTrue="1">
      <formula>OR($C19=0,$C19=2,$C19=3,$C19=4)</formula>
    </cfRule>
  </conditionalFormatting>
  <conditionalFormatting sqref="AJ19">
    <cfRule type="expression" dxfId="236" priority="12" stopIfTrue="1">
      <formula>OR(ACOMPANHAMENTO&lt;&gt;"BM",TIPOORCAMENTO="Licitado")</formula>
    </cfRule>
    <cfRule type="expression" dxfId="235" priority="13" stopIfTrue="1">
      <formula>$C19=1</formula>
    </cfRule>
    <cfRule type="expression" dxfId="234" priority="14" stopIfTrue="1">
      <formula>OR(AND(ISNUMBER($C19),$C19=0),$C19=2,$C19=3,$C19=4)</formula>
    </cfRule>
  </conditionalFormatting>
  <conditionalFormatting sqref="AL19">
    <cfRule type="expression" dxfId="233" priority="15" stopIfTrue="1">
      <formula>TIPOORCAMENTO="PROPOSTO"</formula>
    </cfRule>
    <cfRule type="expression" dxfId="232" priority="16" stopIfTrue="1">
      <formula>$C19=1</formula>
    </cfRule>
    <cfRule type="expression" dxfId="231" priority="17" stopIfTrue="1">
      <formula>OR(AND(ISNUMBER($C19),$C19=0),$C19=2,$C19=3,$C19=4)</formula>
    </cfRule>
  </conditionalFormatting>
  <conditionalFormatting sqref="AM19:AN19">
    <cfRule type="expression" dxfId="230" priority="18" stopIfTrue="1">
      <formula>TIPOORCAMENTO="PROPOSTO"</formula>
    </cfRule>
    <cfRule type="expression" dxfId="229" priority="19" stopIfTrue="1">
      <formula>$C19=1</formula>
    </cfRule>
    <cfRule type="expression" dxfId="228" priority="20" stopIfTrue="1">
      <formula>OR(AND(ISNUMBER($C19),$C19=0),$C19=2,$C19=3,$C19=4)</formula>
    </cfRule>
  </conditionalFormatting>
  <conditionalFormatting sqref="R19">
    <cfRule type="beginsWith" dxfId="227" priority="3" operator="beginsWith" text="(">
      <formula>LEFT(R19,LEN("("))="("</formula>
    </cfRule>
  </conditionalFormatting>
  <conditionalFormatting sqref="X19">
    <cfRule type="expression" dxfId="226" priority="1" stopIfTrue="1">
      <formula>$C19=1</formula>
    </cfRule>
    <cfRule type="expression" dxfId="225" priority="2" stopIfTrue="1">
      <formula>OR($C19=0,$C19=2,$C19=3,$C19=4)</formula>
    </cfRule>
  </conditionalFormatting>
  <dataValidations count="8">
    <dataValidation type="decimal" operator="greaterThan" allowBlank="1" showErrorMessage="1" error="Apenas números decimais maiores que zero." sqref="U14 AL14 AJ14 U16:U26 AL16:AL26 AJ16:AJ26">
      <formula1>0</formula1>
      <formula2>0</formula2>
    </dataValidation>
    <dataValidation type="list" allowBlank="1" sqref="P14 P16:P26">
      <formula1>"SINAPI,SINAPI-I,SICRO,Composição,Cotação"</formula1>
      <formula2>0</formula2>
    </dataValidation>
    <dataValidation type="list" errorStyle="warning" allowBlank="1" showInputMessage="1" showErrorMessage="1" errorTitle="Aviso BDI" error="Selecione um dos 3 BDI da lista._x000a__x000a_Caso tenha mais de 3 BDI nesta Planilha Orçamentária digite apenas valor percentual." promptTitle="Legenda:" prompt="RA: Rateio proporcional entre Repasse e Contrapartida._x000a_RP: 100% Repasse_x000a_CP: 100% Contrapartida_x000a_OU: 100% Outros." sqref="Y14 Y16:Y26">
      <formula1>"RA,RP,CP,OU"</formula1>
      <formula2>0</formula2>
    </dataValidation>
    <dataValidation type="list" showErrorMessage="1" errorTitle="Erro de Entrada" error="Selecione somente os itens da lista." promptTitle="Nível:" prompt="Selecione na lista o nível de itemização da Planilha." sqref="M14 M16:M26">
      <formula1>"Meta,Nível 2,Nível 3,Nível 4,Serviço"</formula1>
      <formula2>0</formula2>
    </dataValidation>
    <dataValidation allowBlank="1" showInputMessage="1" showErrorMessage="1" prompt="A entrada de quantidades é feita na coluna AJ se acompanhamento por BM, ou na aba &quot;Memória de Cálculo/PLQ&quot; se acompanhamento por PLE." sqref="T14 T16:T26"/>
    <dataValidation allowBlank="1" showInputMessage="1" showErrorMessage="1" prompt="Para Orçamento Proposto, o Preço Unitário é resultado do produto do Custo Unitário pelo BDI._x000a_Para Orçamento Licitado, deve ser preenchido na Coluna AL." sqref="W14 W16:W26"/>
    <dataValidation type="list" errorStyle="information" allowBlank="1" showInputMessage="1" prompt="Selecione uma sigla de unidade na lista suspensa." sqref="S14 S16:S26">
      <formula1>ListaTgov.Unidades</formula1>
    </dataValidation>
    <dataValidation type="list" errorStyle="warning" allowBlank="1" showErrorMessage="1" errorTitle="Aviso BDI" error="Selecione um dos 3 BDI da lista._x000a__x000a_Caso tenha mais de 3 BDI nesta Planilha Orçamentária digite apenas valor percentual." sqref="V14 V16:V26">
      <mc:AlternateContent xmlns:x12ac="http://schemas.microsoft.com/office/spreadsheetml/2011/1/ac" xmlns:mc="http://schemas.openxmlformats.org/markup-compatibility/2006">
        <mc:Choice Requires="x12ac">
          <x12ac:list>BDI 1, BDI 2, BDI 3," 0,00%"</x12ac:list>
        </mc:Choice>
        <mc:Fallback>
          <formula1>"BDI 1, BDI 2, BDI 3, 0,00%"</formula1>
        </mc:Fallback>
      </mc:AlternateContent>
    </dataValidation>
  </dataValidations>
  <pageMargins left="0.78740157480314965" right="0.78740157480314965" top="0.78740157480314965" bottom="0.78740157480314965" header="0.59055118110236227" footer="0.59055118110236227"/>
  <pageSetup paperSize="9" scale="69" firstPageNumber="0" fitToHeight="0" orientation="landscape" r:id="rId1"/>
  <headerFooter alignWithMargins="0">
    <oddHeader>&amp;C&amp;14I</oddHeader>
    <oddFooter>&amp;LPMv3.10&amp;R&amp;P / &amp;N</oddFooter>
  </headerFooter>
  <colBreaks count="1" manualBreakCount="1">
    <brk id="2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5128" r:id="rId4" name="CaixaArredQuant">
              <controlPr defaultSize="0" print="0" autoFill="0" autoLine="0" autoPict="0">
                <anchor moveWithCells="1" sizeWithCells="1">
                  <from>
                    <xdr:col>19</xdr:col>
                    <xdr:colOff>457200</xdr:colOff>
                    <xdr:row>9</xdr:row>
                    <xdr:rowOff>66675</xdr:rowOff>
                  </from>
                  <to>
                    <xdr:col>19</xdr:col>
                    <xdr:colOff>904875</xdr:colOff>
                    <xdr:row>10</xdr:row>
                    <xdr:rowOff>142875</xdr:rowOff>
                  </to>
                </anchor>
              </controlPr>
            </control>
          </mc:Choice>
        </mc:AlternateContent>
        <mc:AlternateContent xmlns:mc="http://schemas.openxmlformats.org/markup-compatibility/2006">
          <mc:Choice Requires="x14">
            <control shapeId="5129" r:id="rId5" name="CaixaArredCustoUnit">
              <controlPr defaultSize="0" print="0" autoFill="0" autoLine="0" autoPict="0">
                <anchor moveWithCells="1" sizeWithCells="1">
                  <from>
                    <xdr:col>20</xdr:col>
                    <xdr:colOff>447675</xdr:colOff>
                    <xdr:row>9</xdr:row>
                    <xdr:rowOff>66675</xdr:rowOff>
                  </from>
                  <to>
                    <xdr:col>20</xdr:col>
                    <xdr:colOff>876300</xdr:colOff>
                    <xdr:row>10</xdr:row>
                    <xdr:rowOff>142875</xdr:rowOff>
                  </to>
                </anchor>
              </controlPr>
            </control>
          </mc:Choice>
        </mc:AlternateContent>
        <mc:AlternateContent xmlns:mc="http://schemas.openxmlformats.org/markup-compatibility/2006">
          <mc:Choice Requires="x14">
            <control shapeId="5130" r:id="rId6" name="CaixaArredBDI">
              <controlPr defaultSize="0" print="0" autoFill="0" autoLine="0" autoPict="0">
                <anchor moveWithCells="1" sizeWithCells="1">
                  <from>
                    <xdr:col>21</xdr:col>
                    <xdr:colOff>295275</xdr:colOff>
                    <xdr:row>9</xdr:row>
                    <xdr:rowOff>66675</xdr:rowOff>
                  </from>
                  <to>
                    <xdr:col>21</xdr:col>
                    <xdr:colOff>714375</xdr:colOff>
                    <xdr:row>10</xdr:row>
                    <xdr:rowOff>142875</xdr:rowOff>
                  </to>
                </anchor>
              </controlPr>
            </control>
          </mc:Choice>
        </mc:AlternateContent>
        <mc:AlternateContent xmlns:mc="http://schemas.openxmlformats.org/markup-compatibility/2006">
          <mc:Choice Requires="x14">
            <control shapeId="5131" r:id="rId7" name="CaixaArredPrecoUnit">
              <controlPr defaultSize="0" print="0" autoFill="0" autoLine="0" autoPict="0">
                <anchor moveWithCells="1" sizeWithCells="1">
                  <from>
                    <xdr:col>22</xdr:col>
                    <xdr:colOff>371475</xdr:colOff>
                    <xdr:row>9</xdr:row>
                    <xdr:rowOff>66675</xdr:rowOff>
                  </from>
                  <to>
                    <xdr:col>22</xdr:col>
                    <xdr:colOff>790575</xdr:colOff>
                    <xdr:row>10</xdr:row>
                    <xdr:rowOff>142875</xdr:rowOff>
                  </to>
                </anchor>
              </controlPr>
            </control>
          </mc:Choice>
        </mc:AlternateContent>
        <mc:AlternateContent xmlns:mc="http://schemas.openxmlformats.org/markup-compatibility/2006">
          <mc:Choice Requires="x14">
            <control shapeId="5132" r:id="rId8" name="CaixaArredPrecoTotal">
              <controlPr defaultSize="0" print="0" autoFill="0" autoLine="0" autoPict="0">
                <anchor moveWithCells="1" sizeWithCells="1">
                  <from>
                    <xdr:col>23</xdr:col>
                    <xdr:colOff>447675</xdr:colOff>
                    <xdr:row>9</xdr:row>
                    <xdr:rowOff>47625</xdr:rowOff>
                  </from>
                  <to>
                    <xdr:col>23</xdr:col>
                    <xdr:colOff>876300</xdr:colOff>
                    <xdr:row>10</xdr:row>
                    <xdr:rowOff>142875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8">
    <pageSetUpPr fitToPage="1"/>
  </sheetPr>
  <dimension ref="A1:Z72"/>
  <sheetViews>
    <sheetView showGridLines="0" zoomScaleNormal="100" workbookViewId="0">
      <pane xSplit="4" ySplit="14" topLeftCell="E15" activePane="bottomRight" state="frozen"/>
      <selection pane="topRight" activeCell="E2" sqref="E2"/>
      <selection pane="bottomLeft" activeCell="A15" sqref="A15"/>
      <selection pane="bottomRight"/>
    </sheetView>
  </sheetViews>
  <sheetFormatPr defaultRowHeight="12.75" x14ac:dyDescent="0.2"/>
  <cols>
    <col min="1" max="1" width="3.5703125" style="507" customWidth="1"/>
    <col min="2" max="2" width="5.42578125" hidden="1" customWidth="1"/>
    <col min="3" max="3" width="12.5703125" customWidth="1"/>
    <col min="4" max="4" width="50.5703125" customWidth="1"/>
    <col min="5" max="5" width="14.5703125" hidden="1" customWidth="1"/>
    <col min="6" max="6" width="28.5703125" customWidth="1"/>
    <col min="7" max="7" width="14.5703125" hidden="1" customWidth="1"/>
    <col min="8" max="25" width="14.5703125" customWidth="1"/>
    <col min="26" max="26" width="14.5703125" hidden="1" customWidth="1"/>
  </cols>
  <sheetData>
    <row r="1" spans="1:26" hidden="1" x14ac:dyDescent="0.2">
      <c r="A1" s="507" t="str">
        <f t="shared" ref="A1" si="0">IF(D1="","","F")</f>
        <v/>
      </c>
      <c r="B1" t="e">
        <f ca="1">IF(OR(C1=" ",D1=""),"",CONCATENATE(C1,". ",D1))</f>
        <v>#REF!</v>
      </c>
      <c r="C1" s="183" t="e" cm="1">
        <f t="array" aca="1" ref="C1" ca="1">IF(OR(ROW(C1)=ROW(EVENTOS.firstrow)+1,AND(OFFSET(C1,-1,0)&lt;&gt;" ",OFFSET(C1,-1,1)&lt;&gt;"")),OFFSET(C1,-1,0)+1," ")</f>
        <v>#REF!</v>
      </c>
      <c r="D1" s="497"/>
      <c r="E1" s="628" cm="1">
        <f t="array" aca="1" ref="E1" ca="1">IF(AUTOEVENTO="Manual",ROUND(SUMPRODUCT((CÁLCULO!$M$15:$M$27=EVENTOS!$C1)*(OFFSET(CÁLCULO!$AA$15:$AA$27,0,E$13))),2),0)</f>
        <v>0</v>
      </c>
      <c r="F1" s="184">
        <f ca="1">IF(AUTOEVENTO="Manual",ROUND(SUMPRODUCT((CÁLCULO!$M$15:$M$27=EVENTOS!$C1)*(OFFSET(CÁLCULO!$AA$15,0,1):OFFSET(CÁLCULO!$AL$27,0,-1))),2),0)</f>
        <v>0</v>
      </c>
      <c r="G1" s="629" t="str">
        <f ca="1">IF(AND(D1=0,F1&gt;0),"NOME",
 IF(AND(D1&lt;&gt;0,$F$14&gt;0,F1=0),"VALOR",
 IF(AND(Import.TipoArredondamento="TransfereGOV",$A1="F",LEN(D1)&gt;100),"Nome &gt;100","")))</f>
        <v/>
      </c>
      <c r="H1" s="628" cm="1">
        <f t="array" aca="1" ref="H1" ca="1">IF(AUTOEVENTO="Manual",ROUND(SUMPRODUCT((CÁLCULO!$M$15:$M$27=EVENTOS!$C1)*(OFFSET(CÁLCULO!$AA$15:$AA$27,0,H$13))),2),0)</f>
        <v>0</v>
      </c>
      <c r="I1" s="628" cm="1">
        <f t="array" aca="1" ref="I1" ca="1">IF(AUTOEVENTO="Manual",ROUND(SUMPRODUCT((CÁLCULO!$M$15:$M$27=EVENTOS!$C1)*(OFFSET(CÁLCULO!$AA$15:$AA$27,0,I$13))),2),0)</f>
        <v>0</v>
      </c>
      <c r="J1" s="628" cm="1">
        <f t="array" aca="1" ref="J1" ca="1">IF(AUTOEVENTO="Manual",ROUND(SUMPRODUCT((CÁLCULO!$M$15:$M$27=EVENTOS!$C1)*(OFFSET(CÁLCULO!$AA$15:$AA$27,0,J$13))),2),0)</f>
        <v>0</v>
      </c>
      <c r="K1" s="628" cm="1">
        <f t="array" aca="1" ref="K1" ca="1">IF(AUTOEVENTO="Manual",ROUND(SUMPRODUCT((CÁLCULO!$M$15:$M$27=EVENTOS!$C1)*(OFFSET(CÁLCULO!$AA$15:$AA$27,0,K$13))),2),0)</f>
        <v>0</v>
      </c>
      <c r="L1" s="628" cm="1">
        <f t="array" aca="1" ref="L1" ca="1">IF(AUTOEVENTO="Manual",ROUND(SUMPRODUCT((CÁLCULO!$M$15:$M$27=EVENTOS!$C1)*(OFFSET(CÁLCULO!$AA$15:$AA$27,0,L$13))),2),0)</f>
        <v>0</v>
      </c>
      <c r="M1" s="628" cm="1">
        <f t="array" aca="1" ref="M1" ca="1">IF(AUTOEVENTO="Manual",ROUND(SUMPRODUCT((CÁLCULO!$M$15:$M$27=EVENTOS!$C1)*(OFFSET(CÁLCULO!$AA$15:$AA$27,0,M$13))),2),0)</f>
        <v>0</v>
      </c>
      <c r="N1" s="628" cm="1">
        <f t="array" aca="1" ref="N1" ca="1">IF(AUTOEVENTO="Manual",ROUND(SUMPRODUCT((CÁLCULO!$M$15:$M$27=EVENTOS!$C1)*(OFFSET(CÁLCULO!$AA$15:$AA$27,0,N$13))),2),0)</f>
        <v>0</v>
      </c>
      <c r="O1" s="628" cm="1">
        <f t="array" aca="1" ref="O1" ca="1">IF(AUTOEVENTO="Manual",ROUND(SUMPRODUCT((CÁLCULO!$M$15:$M$27=EVENTOS!$C1)*(OFFSET(CÁLCULO!$AA$15:$AA$27,0,O$13))),2),0)</f>
        <v>0</v>
      </c>
      <c r="P1" s="628" cm="1">
        <f t="array" aca="1" ref="P1" ca="1">IF(AUTOEVENTO="Manual",ROUND(SUMPRODUCT((CÁLCULO!$M$15:$M$27=EVENTOS!$C1)*(OFFSET(CÁLCULO!$AA$15:$AA$27,0,P$13))),2),0)</f>
        <v>0</v>
      </c>
      <c r="Q1" s="628" cm="1">
        <f t="array" aca="1" ref="Q1" ca="1">IF(AUTOEVENTO="Manual",ROUND(SUMPRODUCT((CÁLCULO!$M$15:$M$27=EVENTOS!$C1)*(OFFSET(CÁLCULO!$AA$15:$AA$27,0,Q$13))),2),0)</f>
        <v>0</v>
      </c>
      <c r="R1" s="628" cm="1">
        <f t="array" aca="1" ref="R1" ca="1">IF(AUTOEVENTO="Manual",ROUND(SUMPRODUCT((CÁLCULO!$M$15:$M$27=EVENTOS!$C1)*(OFFSET(CÁLCULO!$AA$15:$AA$27,0,R$13))),2),0)</f>
        <v>0</v>
      </c>
      <c r="S1" s="628" cm="1">
        <f t="array" aca="1" ref="S1" ca="1">IF(AUTOEVENTO="Manual",ROUND(SUMPRODUCT((CÁLCULO!$M$15:$M$27=EVENTOS!$C1)*(OFFSET(CÁLCULO!$AA$15:$AA$27,0,S$13))),2),0)</f>
        <v>0</v>
      </c>
      <c r="T1" s="628" cm="1">
        <f t="array" aca="1" ref="T1" ca="1">IF(AUTOEVENTO="Manual",ROUND(SUMPRODUCT((CÁLCULO!$M$15:$M$27=EVENTOS!$C1)*(OFFSET(CÁLCULO!$AA$15:$AA$27,0,T$13))),2),0)</f>
        <v>0</v>
      </c>
      <c r="U1" s="628" cm="1">
        <f t="array" aca="1" ref="U1" ca="1">IF(AUTOEVENTO="Manual",ROUND(SUMPRODUCT((CÁLCULO!$M$15:$M$27=EVENTOS!$C1)*(OFFSET(CÁLCULO!$AA$15:$AA$27,0,U$13))),2),0)</f>
        <v>0</v>
      </c>
      <c r="V1" s="628" cm="1">
        <f t="array" aca="1" ref="V1" ca="1">IF(AUTOEVENTO="Manual",ROUND(SUMPRODUCT((CÁLCULO!$M$15:$M$27=EVENTOS!$C1)*(OFFSET(CÁLCULO!$AA$15:$AA$27,0,V$13))),2),0)</f>
        <v>0</v>
      </c>
      <c r="W1" s="628" cm="1">
        <f t="array" aca="1" ref="W1" ca="1">IF(AUTOEVENTO="Manual",ROUND(SUMPRODUCT((CÁLCULO!$M$15:$M$27=EVENTOS!$C1)*(OFFSET(CÁLCULO!$AA$15:$AA$27,0,W$13))),2),0)</f>
        <v>0</v>
      </c>
      <c r="X1" s="628" cm="1">
        <f t="array" aca="1" ref="X1" ca="1">IF(AUTOEVENTO="Manual",ROUND(SUMPRODUCT((CÁLCULO!$M$15:$M$27=EVENTOS!$C1)*(OFFSET(CÁLCULO!$AA$15:$AA$27,0,X$13))),2),0)</f>
        <v>0</v>
      </c>
      <c r="Y1" s="628" cm="1">
        <f t="array" aca="1" ref="Y1" ca="1">IF(AUTOEVENTO="Manual",ROUND(SUMPRODUCT((CÁLCULO!$M$15:$M$27=EVENTOS!$C1)*(OFFSET(CÁLCULO!$AA$15:$AA$27,0,Y$13))),2),0)</f>
        <v>0</v>
      </c>
    </row>
    <row r="2" spans="1:26" ht="30" customHeight="1" x14ac:dyDescent="0.2">
      <c r="F2" s="82" t="s">
        <v>759</v>
      </c>
      <c r="O2" s="630" t="s">
        <v>760</v>
      </c>
      <c r="Y2" s="630" t="s">
        <v>760</v>
      </c>
    </row>
    <row r="4" spans="1:26" ht="12.75" customHeight="1" x14ac:dyDescent="0.2">
      <c r="C4" s="55" t="s">
        <v>654</v>
      </c>
      <c r="D4" s="97"/>
      <c r="E4" s="77"/>
      <c r="F4" s="209" t="s">
        <v>761</v>
      </c>
      <c r="G4" s="77"/>
      <c r="H4" s="485"/>
      <c r="I4" s="485"/>
      <c r="J4" s="485"/>
      <c r="K4" s="485"/>
      <c r="L4" s="485"/>
      <c r="N4" s="55" t="s">
        <v>652</v>
      </c>
      <c r="O4" s="505" t="s">
        <v>710</v>
      </c>
      <c r="P4" s="209" t="s">
        <v>761</v>
      </c>
      <c r="Q4" s="77"/>
      <c r="R4" s="485"/>
      <c r="S4" s="485"/>
      <c r="T4" s="485"/>
      <c r="U4" s="485"/>
      <c r="V4" s="485"/>
      <c r="X4" s="55" t="s">
        <v>652</v>
      </c>
      <c r="Y4" s="505" t="s">
        <v>710</v>
      </c>
    </row>
    <row r="5" spans="1:26" ht="12.75" customHeight="1" x14ac:dyDescent="0.2">
      <c r="C5" s="506" t="str">
        <f>Import.Proponente</f>
        <v>PREFEITURA MUNICIPAL</v>
      </c>
      <c r="D5" s="504"/>
      <c r="E5" s="504"/>
      <c r="F5" s="715" t="str">
        <f>Import.Apelido</f>
        <v>COBERTURA DE QUADRA</v>
      </c>
      <c r="G5" s="716"/>
      <c r="H5" s="716"/>
      <c r="I5" s="716"/>
      <c r="J5" s="716"/>
      <c r="K5" s="716"/>
      <c r="L5" s="716"/>
      <c r="M5" s="717"/>
      <c r="N5" s="56">
        <f>Import.CR</f>
        <v>0</v>
      </c>
      <c r="O5" s="56">
        <f>Import.SICONV</f>
        <v>0</v>
      </c>
      <c r="P5" s="715" t="str">
        <f>Import.Apelido</f>
        <v>COBERTURA DE QUADRA</v>
      </c>
      <c r="Q5" s="716"/>
      <c r="R5" s="716"/>
      <c r="S5" s="716"/>
      <c r="T5" s="716"/>
      <c r="U5" s="716"/>
      <c r="V5" s="716"/>
      <c r="W5" s="717"/>
      <c r="X5" s="56">
        <f>Import.CR</f>
        <v>0</v>
      </c>
      <c r="Y5" s="56">
        <f>Import.SICONV</f>
        <v>0</v>
      </c>
      <c r="Z5" t="s">
        <v>755</v>
      </c>
    </row>
    <row r="6" spans="1:26" ht="24.95" customHeight="1" x14ac:dyDescent="0.25">
      <c r="C6" t="s">
        <v>762</v>
      </c>
      <c r="F6" s="522" t="str">
        <f ca="1">IF(AUTOEVENTO="MANUAL",
  IF(COUNTIF($G$15:$G$65,"NOME")&gt;0,"Falta preencher o nome do Título do Evento nº "&amp;INDEX($C$15:$C$65,MATCH("NOME",$G$15:$G$65,0)),
  IF(COUNTIF($G$15:$G$65,"VALOR")&gt;0,"Falta atribuir serviços ao Evento nº "&amp;INDEX($C$15:$C$65,MATCH("VALOR",$G$15:$G$65,0))&amp;". Corrigir a atribuição dos eventos na aba CÁLCULO. Ou excluir linhas dos eventos não utilizados.",
  IF($F$14&lt;&gt;ORÇAMENTO!$X$15,"O valor total dos Eventos é diferente do valor total do Orçamento. Corrigir a atribuição dos eventos na aba CÁLCULO",
  IF(COUNTIF($G$15:$G$65,"Nome &gt;100")&gt;0,"O tamanho do Título do Evento no TransfereGOV é limitado a 100 caracteres. Resuma o nome do Título do Evento nº "&amp;INDEX($C$15:$C$65,MATCH("Nome &gt;100",$G$15:$G$65,0)),"")))),"")</f>
        <v/>
      </c>
    </row>
    <row r="7" spans="1:26" ht="3.95" customHeight="1" thickBot="1" x14ac:dyDescent="0.25"/>
    <row r="8" spans="1:26" ht="16.5" thickBot="1" x14ac:dyDescent="0.3">
      <c r="C8" s="722" t="s">
        <v>763</v>
      </c>
      <c r="D8" s="723"/>
      <c r="F8" s="522" t="str" cm="1">
        <f t="array" ref="F8">IF(ACOMPANHAMENTO="BM","",
 IF(Import.Eventos.Nível="","◄ Selecione a forma de definição dos agrupadores de eventos",
 IF(Import.Eventos.Nível="","◄ Selecione a forma de definição dos agrupadores de eventos","")))</f>
        <v/>
      </c>
    </row>
    <row r="9" spans="1:26" ht="12" customHeight="1" x14ac:dyDescent="0.2"/>
    <row r="10" spans="1:26" ht="33.75" customHeight="1" x14ac:dyDescent="0.2">
      <c r="C10" s="593">
        <f ca="1">COUNTIF($C$15:$C$65,"&gt;0")-1</f>
        <v>0</v>
      </c>
      <c r="D10" t="s">
        <v>755</v>
      </c>
      <c r="E10" s="718">
        <f ca="1">OFFSET(CÁLCULO!$P$12,0,EVENTOS!E$13)</f>
        <v>0</v>
      </c>
      <c r="F10" t="s">
        <v>755</v>
      </c>
      <c r="G10" s="719"/>
      <c r="H10" s="718">
        <f ca="1">OFFSET(CÁLCULO!$P$12,0,EVENTOS!H$13)</f>
        <v>0</v>
      </c>
      <c r="I10" s="718" t="str">
        <f ca="1">OFFSET(CÁLCULO!$P$12,0,EVENTOS!I$13)</f>
        <v>.</v>
      </c>
      <c r="J10" s="718" t="str">
        <f ca="1">OFFSET(CÁLCULO!$P$12,0,EVENTOS!J$13)</f>
        <v>.</v>
      </c>
      <c r="K10" s="719" t="str">
        <f ca="1">OFFSET(CÁLCULO!$P$12,0,EVENTOS!K$13)</f>
        <v>.</v>
      </c>
      <c r="L10" s="719" t="str">
        <f ca="1">OFFSET(CÁLCULO!$P$12,0,EVENTOS!L$13)</f>
        <v>.</v>
      </c>
      <c r="M10" s="719" t="str">
        <f ca="1">OFFSET(CÁLCULO!$P$12,0,EVENTOS!M$13)</f>
        <v>.</v>
      </c>
      <c r="N10" s="719" t="str">
        <f ca="1">OFFSET(CÁLCULO!$P$12,0,EVENTOS!N$13)</f>
        <v>.</v>
      </c>
      <c r="O10" s="719" t="str">
        <f ca="1">OFFSET(CÁLCULO!$P$12,0,EVENTOS!O$13)</f>
        <v>.</v>
      </c>
      <c r="P10" s="719" t="str">
        <f ca="1">OFFSET(CÁLCULO!$P$12,0,EVENTOS!P$13)</f>
        <v>.</v>
      </c>
      <c r="Q10" s="719" t="str">
        <f ca="1">OFFSET(CÁLCULO!$P$12,0,EVENTOS!Q$13)</f>
        <v>.</v>
      </c>
      <c r="R10" s="719" t="str">
        <f ca="1">OFFSET(CÁLCULO!$P$12,0,EVENTOS!R$13)</f>
        <v>.</v>
      </c>
      <c r="S10" s="719" t="str">
        <f ca="1">OFFSET(CÁLCULO!$P$12,0,EVENTOS!S$13)</f>
        <v>.</v>
      </c>
      <c r="T10" s="719" t="str">
        <f ca="1">OFFSET(CÁLCULO!$P$12,0,EVENTOS!T$13)</f>
        <v>.</v>
      </c>
      <c r="U10" s="719" t="str">
        <f ca="1">OFFSET(CÁLCULO!$P$12,0,EVENTOS!U$13)</f>
        <v>.</v>
      </c>
      <c r="V10" s="719" t="str">
        <f ca="1">OFFSET(CÁLCULO!$P$12,0,EVENTOS!V$13)</f>
        <v>.</v>
      </c>
      <c r="W10" s="719" t="str">
        <f ca="1">OFFSET(CÁLCULO!$P$12,0,EVENTOS!W$13)</f>
        <v>.</v>
      </c>
      <c r="X10" s="719" t="str">
        <f ca="1">OFFSET(CÁLCULO!$P$12,0,EVENTOS!X$13)</f>
        <v>.</v>
      </c>
      <c r="Y10" s="719" t="str">
        <f ca="1">OFFSET(CÁLCULO!$P$12,0,EVENTOS!Y$13)</f>
        <v>.</v>
      </c>
    </row>
    <row r="11" spans="1:26" ht="35.1" customHeight="1" x14ac:dyDescent="0.2">
      <c r="A11" s="508" t="s">
        <v>657</v>
      </c>
      <c r="C11" s="724" t="str" cm="1">
        <f t="array" ref="C11">IF(ACOMPANHAMENTO="BM","Foi selecionado na aba 'MENU' o acompanhamento por BM. Não há necessidade de definição de Eventos.",IF(AND(Import.Eventos.Nível&lt;&gt;"Definir Manualmente",Import.Eventos.Nível&lt;&gt;""),"Foi selecionada a forma automática de definição dos agrupadores de eventos.",""))</f>
        <v>Foi selecionado na aba 'MENU' o acompanhamento por BM. Não há necessidade de definição de Eventos.</v>
      </c>
      <c r="D11" s="724"/>
      <c r="E11" s="718"/>
      <c r="F11" s="498"/>
      <c r="G11" s="720"/>
      <c r="H11" s="718"/>
      <c r="I11" s="718"/>
      <c r="J11" s="718"/>
      <c r="K11" s="720"/>
      <c r="L11" s="720"/>
      <c r="M11" s="720"/>
      <c r="N11" s="720"/>
      <c r="O11" s="720"/>
      <c r="P11" s="720"/>
      <c r="Q11" s="720"/>
      <c r="R11" s="720"/>
      <c r="S11" s="720"/>
      <c r="T11" s="720"/>
      <c r="U11" s="720"/>
      <c r="V11" s="720"/>
      <c r="W11" s="720"/>
      <c r="X11" s="720"/>
      <c r="Y11" s="720"/>
    </row>
    <row r="12" spans="1:26" ht="12" customHeight="1" x14ac:dyDescent="0.2">
      <c r="A12" s="509" t="s">
        <v>662</v>
      </c>
      <c r="E12" s="718"/>
      <c r="G12" s="721"/>
      <c r="H12" s="718"/>
      <c r="I12" s="718"/>
      <c r="J12" s="718"/>
      <c r="K12" s="721"/>
      <c r="L12" s="721"/>
      <c r="M12" s="721"/>
      <c r="N12" s="721"/>
      <c r="O12" s="721"/>
      <c r="P12" s="721"/>
      <c r="Q12" s="721"/>
      <c r="R12" s="721"/>
      <c r="S12" s="721"/>
      <c r="T12" s="721"/>
      <c r="U12" s="721"/>
      <c r="V12" s="721"/>
      <c r="W12" s="721"/>
      <c r="X12" s="721"/>
      <c r="Y12" s="721"/>
    </row>
    <row r="13" spans="1:26" ht="15" x14ac:dyDescent="0.25">
      <c r="A13" s="509"/>
      <c r="C13" s="499" t="s">
        <v>764</v>
      </c>
      <c r="D13" s="631" t="s">
        <v>765</v>
      </c>
      <c r="E13" s="632">
        <f ca="1">IF(NOT(ISNUMBER(OFFSET(E13,0,-1))),1,IF(OR(OFFSET(E13,0,-1)=0,OFFSET(E13,0,-1)+1&gt;CÁLCULO.FrentesPreenchidas),0,OFFSET(E13,0,-1)+1))</f>
        <v>1</v>
      </c>
      <c r="F13" s="551" t="s">
        <v>766</v>
      </c>
      <c r="G13" s="496"/>
      <c r="H13" s="632">
        <f t="shared" ref="H13:Y13" ca="1" si="1">IF(NOT(ISNUMBER(OFFSET(H13,0,-1))),1,IF(OR(OFFSET(H13,0,-1)=0,OFFSET(H13,0,-1)+1&gt;CÁLCULO.FrentesPreenchidas),0,OFFSET(H13,0,-1)+1))</f>
        <v>1</v>
      </c>
      <c r="I13" s="632">
        <f t="shared" ca="1" si="1"/>
        <v>0</v>
      </c>
      <c r="J13" s="632">
        <f t="shared" ca="1" si="1"/>
        <v>0</v>
      </c>
      <c r="K13" s="632">
        <f t="shared" ca="1" si="1"/>
        <v>0</v>
      </c>
      <c r="L13" s="632">
        <f t="shared" ca="1" si="1"/>
        <v>0</v>
      </c>
      <c r="M13" s="632">
        <f t="shared" ca="1" si="1"/>
        <v>0</v>
      </c>
      <c r="N13" s="632">
        <f t="shared" ca="1" si="1"/>
        <v>0</v>
      </c>
      <c r="O13" s="632">
        <f t="shared" ca="1" si="1"/>
        <v>0</v>
      </c>
      <c r="P13" s="632">
        <f t="shared" ca="1" si="1"/>
        <v>0</v>
      </c>
      <c r="Q13" s="632">
        <f t="shared" ca="1" si="1"/>
        <v>0</v>
      </c>
      <c r="R13" s="632">
        <f t="shared" ca="1" si="1"/>
        <v>0</v>
      </c>
      <c r="S13" s="632">
        <f t="shared" ca="1" si="1"/>
        <v>0</v>
      </c>
      <c r="T13" s="632">
        <f t="shared" ca="1" si="1"/>
        <v>0</v>
      </c>
      <c r="U13" s="632">
        <f t="shared" ca="1" si="1"/>
        <v>0</v>
      </c>
      <c r="V13" s="632">
        <f t="shared" ca="1" si="1"/>
        <v>0</v>
      </c>
      <c r="W13" s="632">
        <f t="shared" ca="1" si="1"/>
        <v>0</v>
      </c>
      <c r="X13" s="632">
        <f t="shared" ca="1" si="1"/>
        <v>0</v>
      </c>
      <c r="Y13" s="632">
        <f t="shared" ca="1" si="1"/>
        <v>0</v>
      </c>
    </row>
    <row r="14" spans="1:26" ht="15" customHeight="1" x14ac:dyDescent="0.2">
      <c r="A14" s="507" t="s">
        <v>538</v>
      </c>
      <c r="C14" s="547"/>
      <c r="D14" s="548" t="s">
        <v>767</v>
      </c>
      <c r="E14" s="633">
        <f ca="1">SUM(E$15:E$65)</f>
        <v>0</v>
      </c>
      <c r="F14" s="549">
        <f ca="1">SUM(F$15:F$65)</f>
        <v>0</v>
      </c>
      <c r="H14" s="633">
        <f t="shared" ref="H14:Y14" ca="1" si="2">SUM(H$15:H$65)</f>
        <v>0</v>
      </c>
      <c r="I14" s="633">
        <f t="shared" ca="1" si="2"/>
        <v>0</v>
      </c>
      <c r="J14" s="633">
        <f t="shared" ca="1" si="2"/>
        <v>0</v>
      </c>
      <c r="K14" s="633">
        <f t="shared" ca="1" si="2"/>
        <v>0</v>
      </c>
      <c r="L14" s="633">
        <f t="shared" ca="1" si="2"/>
        <v>0</v>
      </c>
      <c r="M14" s="633">
        <f t="shared" ca="1" si="2"/>
        <v>0</v>
      </c>
      <c r="N14" s="633">
        <f t="shared" ca="1" si="2"/>
        <v>0</v>
      </c>
      <c r="O14" s="633">
        <f t="shared" ca="1" si="2"/>
        <v>0</v>
      </c>
      <c r="P14" s="633">
        <f t="shared" ca="1" si="2"/>
        <v>0</v>
      </c>
      <c r="Q14" s="633">
        <f t="shared" ca="1" si="2"/>
        <v>0</v>
      </c>
      <c r="R14" s="633">
        <f t="shared" ca="1" si="2"/>
        <v>0</v>
      </c>
      <c r="S14" s="633">
        <f t="shared" ca="1" si="2"/>
        <v>0</v>
      </c>
      <c r="T14" s="633">
        <f t="shared" ca="1" si="2"/>
        <v>0</v>
      </c>
      <c r="U14" s="633">
        <f t="shared" ca="1" si="2"/>
        <v>0</v>
      </c>
      <c r="V14" s="633">
        <f t="shared" ca="1" si="2"/>
        <v>0</v>
      </c>
      <c r="W14" s="633">
        <f t="shared" ca="1" si="2"/>
        <v>0</v>
      </c>
      <c r="X14" s="633">
        <f t="shared" ca="1" si="2"/>
        <v>0</v>
      </c>
      <c r="Y14" s="633">
        <f t="shared" ca="1" si="2"/>
        <v>0</v>
      </c>
    </row>
    <row r="15" spans="1:26" x14ac:dyDescent="0.2">
      <c r="A15" s="507" t="str">
        <f t="shared" ref="A15:A64" ca="1" si="3">IF(D15="","","F")</f>
        <v/>
      </c>
      <c r="B15" t="str">
        <f ca="1">IF(OR(C15=" ",D15=""),"",CONCATENATE(C15,". ",D15))</f>
        <v/>
      </c>
      <c r="C15" s="552" cm="1">
        <f t="array" aca="1" ref="C15" ca="1">IF(AdmLocal="Automática",1,0)</f>
        <v>0</v>
      </c>
      <c r="D15" s="634" t="str">
        <f ca="1">IF(C15=1,"Administração Local","")</f>
        <v/>
      </c>
      <c r="E15" s="635">
        <f ca="1">IF($F$15=0,0,IF(E13=1,$F$15-SUM($I$15:$Z$15),ROUND(SUM(OFFSET(E15,1,0):OFFSET(E$65,-1,0))/SUM(OFFSET($F15,1,0):OFFSET($F$65,-1,0))*$F$15,2)))</f>
        <v>0</v>
      </c>
      <c r="F15" s="553" cm="1">
        <f t="array" aca="1" ref="F15" ca="1">IF($C$15=0,0,ROUND(SUMPRODUCT((CÁLCULO!$M$15:$M$27=EVENTOS!$C15)*(ORÇAMENTO!$X$15:'ORÇAMENTO'!$X$27)),2))</f>
        <v>0</v>
      </c>
      <c r="G15" s="636"/>
      <c r="H15" s="635">
        <f ca="1">IF($F$15=0,0,IF(H13=1,$F$15-SUM($I$15:$Z$15),ROUND(SUM(OFFSET(H15,1,0):OFFSET(H$65,-1,0))/SUM(OFFSET($F15,1,0):OFFSET($F$65,-1,0))*$F$15,2)))</f>
        <v>0</v>
      </c>
      <c r="I15" s="635">
        <f ca="1">IF($F$15=0,0,IF(I13=1,$F$15-SUM($I$15:$Z$15),ROUND(SUM(OFFSET(I15,1,0):OFFSET(I$65,-1,0))/SUM(OFFSET($F15,1,0):OFFSET($F$65,-1,0))*$F$15,2)))</f>
        <v>0</v>
      </c>
      <c r="J15" s="635">
        <f ca="1">IF($F$15=0,0,IF(J13=1,$F$15-SUM($I$15:$Z$15),ROUND(SUM(OFFSET(J15,1,0):OFFSET(J$65,-1,0))/SUM(OFFSET($F15,1,0):OFFSET($F$65,-1,0))*$F$15,2)))</f>
        <v>0</v>
      </c>
      <c r="K15" s="635">
        <f ca="1">IF($F$15=0,0,IF(K13=1,$F$15-SUM($I$15:$Z$15),ROUND(SUM(OFFSET(K15,1,0):OFFSET(K$65,-1,0))/SUM(OFFSET($F15,1,0):OFFSET($F$65,-1,0))*$F$15,2)))</f>
        <v>0</v>
      </c>
      <c r="L15" s="635">
        <f ca="1">IF($F$15=0,0,IF(L13=1,$F$15-SUM($I$15:$Z$15),ROUND(SUM(OFFSET(L15,1,0):OFFSET(L$65,-1,0))/SUM(OFFSET($F15,1,0):OFFSET($F$65,-1,0))*$F$15,2)))</f>
        <v>0</v>
      </c>
      <c r="M15" s="635">
        <f ca="1">IF($F$15=0,0,IF(M13=1,$F$15-SUM($I$15:$Z$15),ROUND(SUM(OFFSET(M15,1,0):OFFSET(M$65,-1,0))/SUM(OFFSET($F15,1,0):OFFSET($F$65,-1,0))*$F$15,2)))</f>
        <v>0</v>
      </c>
      <c r="N15" s="635">
        <f ca="1">IF($F$15=0,0,IF(N13=1,$F$15-SUM($I$15:$Z$15),ROUND(SUM(OFFSET(N15,1,0):OFFSET(N$65,-1,0))/SUM(OFFSET($F15,1,0):OFFSET($F$65,-1,0))*$F$15,2)))</f>
        <v>0</v>
      </c>
      <c r="O15" s="635">
        <f ca="1">IF($F$15=0,0,IF(O13=1,$F$15-SUM($I$15:$Z$15),ROUND(SUM(OFFSET(O15,1,0):OFFSET(O$65,-1,0))/SUM(OFFSET($F15,1,0):OFFSET($F$65,-1,0))*$F$15,2)))</f>
        <v>0</v>
      </c>
      <c r="P15" s="635">
        <f ca="1">IF($F$15=0,0,IF(P13=1,$F$15-SUM($I$15:$Z$15),ROUND(SUM(OFFSET(P15,1,0):OFFSET(P$65,-1,0))/SUM(OFFSET($F15,1,0):OFFSET($F$65,-1,0))*$F$15,2)))</f>
        <v>0</v>
      </c>
      <c r="Q15" s="635">
        <f ca="1">IF($F$15=0,0,IF(Q13=1,$F$15-SUM($I$15:$Z$15),ROUND(SUM(OFFSET(Q15,1,0):OFFSET(Q$65,-1,0))/SUM(OFFSET($F15,1,0):OFFSET($F$65,-1,0))*$F$15,2)))</f>
        <v>0</v>
      </c>
      <c r="R15" s="635">
        <f ca="1">IF($F$15=0,0,IF(R13=1,$F$15-SUM($I$15:$Z$15),ROUND(SUM(OFFSET(R15,1,0):OFFSET(R$65,-1,0))/SUM(OFFSET($F15,1,0):OFFSET($F$65,-1,0))*$F$15,2)))</f>
        <v>0</v>
      </c>
      <c r="S15" s="635">
        <f ca="1">IF($F$15=0,0,IF(S13=1,$F$15-SUM($I$15:$Z$15),ROUND(SUM(OFFSET(S15,1,0):OFFSET(S$65,-1,0))/SUM(OFFSET($F15,1,0):OFFSET($F$65,-1,0))*$F$15,2)))</f>
        <v>0</v>
      </c>
      <c r="T15" s="635">
        <f ca="1">IF($F$15=0,0,IF(T13=1,$F$15-SUM($I$15:$Z$15),ROUND(SUM(OFFSET(T15,1,0):OFFSET(T$65,-1,0))/SUM(OFFSET($F15,1,0):OFFSET($F$65,-1,0))*$F$15,2)))</f>
        <v>0</v>
      </c>
      <c r="U15" s="635">
        <f ca="1">IF($F$15=0,0,IF(U13=1,$F$15-SUM($I$15:$Z$15),ROUND(SUM(OFFSET(U15,1,0):OFFSET(U$65,-1,0))/SUM(OFFSET($F15,1,0):OFFSET($F$65,-1,0))*$F$15,2)))</f>
        <v>0</v>
      </c>
      <c r="V15" s="635">
        <f ca="1">IF($F$15=0,0,IF(V13=1,$F$15-SUM($I$15:$Z$15),ROUND(SUM(OFFSET(V15,1,0):OFFSET(V$65,-1,0))/SUM(OFFSET($F15,1,0):OFFSET($F$65,-1,0))*$F$15,2)))</f>
        <v>0</v>
      </c>
      <c r="W15" s="635">
        <f ca="1">IF($F$15=0,0,IF(W13=1,$F$15-SUM($I$15:$Z$15),ROUND(SUM(OFFSET(W15,1,0):OFFSET(W$65,-1,0))/SUM(OFFSET($F15,1,0):OFFSET($F$65,-1,0))*$F$15,2)))</f>
        <v>0</v>
      </c>
      <c r="X15" s="635">
        <f ca="1">IF($F$15=0,0,IF(X13=1,$F$15-SUM($I$15:$Z$15),ROUND(SUM(OFFSET(X15,1,0):OFFSET(X$65,-1,0))/SUM(OFFSET($F15,1,0):OFFSET($F$65,-1,0))*$F$15,2)))</f>
        <v>0</v>
      </c>
      <c r="Y15" s="635">
        <f ca="1">IF($F$15=0,0,IF(Y13=1,$F$15-SUM($I$15:$Z$15),ROUND(SUM(OFFSET(Y15,1,0):OFFSET(Y$65,-1,0))/SUM(OFFSET($F15,1,0):OFFSET($F$65,-1,0))*$F$15,2)))</f>
        <v>0</v>
      </c>
    </row>
    <row r="16" spans="1:26" x14ac:dyDescent="0.2">
      <c r="A16" s="507" t="str">
        <f t="shared" si="3"/>
        <v/>
      </c>
      <c r="B16" t="str">
        <f t="shared" ref="B16:B64" ca="1" si="4">IF(OR(C16=" ",D16=""),"",CONCATENATE(C16,". ",D16))</f>
        <v/>
      </c>
      <c r="C16" s="183" cm="1">
        <f t="array" aca="1" ref="C16" ca="1">IF(OR(ROW(C16)=ROW(EVENTOS.firstrow)+1,AND(OFFSET(C16,-1,0)&lt;&gt;" ",OFFSET(C16,-1,1)&lt;&gt;"")),OFFSET(C16,-1,0)+1," ")</f>
        <v>1</v>
      </c>
      <c r="D16" s="497"/>
      <c r="E16" s="628" cm="1">
        <f t="array" aca="1" ref="E16" ca="1">IF(AUTOEVENTO="Manual",ROUND(SUMPRODUCT((CÁLCULO!$M$15:$M$27=EVENTOS!$C16)*(OFFSET(CÁLCULO!$AA$15:$AA$27,0,E$13))),2),0)</f>
        <v>0</v>
      </c>
      <c r="F16" s="184">
        <f ca="1">IF(AUTOEVENTO="Manual",ROUND(SUMPRODUCT((CÁLCULO!$M$15:$M$27=EVENTOS!$C16)*(OFFSET(CÁLCULO!$AA$15,0,1):OFFSET(CÁLCULO!$AL$27,0,-1))),2),0)</f>
        <v>0</v>
      </c>
      <c r="G16" s="629" t="str">
        <f t="shared" ref="G16:G47" ca="1" si="5">IF(AND(D16=0,F16&gt;0),"NOME",
 IF(AND(D16&lt;&gt;0,$F$14&gt;0,F16=0),"VALOR",
 IF(AND(Import.TipoArredondamento="TransfereGOV",$A16="F",LEN(D16)&gt;100),"Nome &gt;100","")))</f>
        <v/>
      </c>
      <c r="H16" s="628" cm="1">
        <f t="array" aca="1" ref="H16" ca="1">IF(AUTOEVENTO="Manual",ROUND(SUMPRODUCT((CÁLCULO!$M$15:$M$27=EVENTOS!$C16)*(OFFSET(CÁLCULO!$AA$15:$AA$27,0,H$13))),2),0)</f>
        <v>0</v>
      </c>
      <c r="I16" s="628" cm="1">
        <f t="array" aca="1" ref="I16" ca="1">IF(AUTOEVENTO="Manual",ROUND(SUMPRODUCT((CÁLCULO!$M$15:$M$27=EVENTOS!$C16)*(OFFSET(CÁLCULO!$AA$15:$AA$27,0,I$13))),2),0)</f>
        <v>0</v>
      </c>
      <c r="J16" s="628" cm="1">
        <f t="array" aca="1" ref="J16" ca="1">IF(AUTOEVENTO="Manual",ROUND(SUMPRODUCT((CÁLCULO!$M$15:$M$27=EVENTOS!$C16)*(OFFSET(CÁLCULO!$AA$15:$AA$27,0,J$13))),2),0)</f>
        <v>0</v>
      </c>
      <c r="K16" s="628" cm="1">
        <f t="array" aca="1" ref="K16" ca="1">IF(AUTOEVENTO="Manual",ROUND(SUMPRODUCT((CÁLCULO!$M$15:$M$27=EVENTOS!$C16)*(OFFSET(CÁLCULO!$AA$15:$AA$27,0,K$13))),2),0)</f>
        <v>0</v>
      </c>
      <c r="L16" s="628" cm="1">
        <f t="array" aca="1" ref="L16" ca="1">IF(AUTOEVENTO="Manual",ROUND(SUMPRODUCT((CÁLCULO!$M$15:$M$27=EVENTOS!$C16)*(OFFSET(CÁLCULO!$AA$15:$AA$27,0,L$13))),2),0)</f>
        <v>0</v>
      </c>
      <c r="M16" s="628" cm="1">
        <f t="array" aca="1" ref="M16" ca="1">IF(AUTOEVENTO="Manual",ROUND(SUMPRODUCT((CÁLCULO!$M$15:$M$27=EVENTOS!$C16)*(OFFSET(CÁLCULO!$AA$15:$AA$27,0,M$13))),2),0)</f>
        <v>0</v>
      </c>
      <c r="N16" s="628" cm="1">
        <f t="array" aca="1" ref="N16" ca="1">IF(AUTOEVENTO="Manual",ROUND(SUMPRODUCT((CÁLCULO!$M$15:$M$27=EVENTOS!$C16)*(OFFSET(CÁLCULO!$AA$15:$AA$27,0,N$13))),2),0)</f>
        <v>0</v>
      </c>
      <c r="O16" s="628" cm="1">
        <f t="array" aca="1" ref="O16" ca="1">IF(AUTOEVENTO="Manual",ROUND(SUMPRODUCT((CÁLCULO!$M$15:$M$27=EVENTOS!$C16)*(OFFSET(CÁLCULO!$AA$15:$AA$27,0,O$13))),2),0)</f>
        <v>0</v>
      </c>
      <c r="P16" s="628" cm="1">
        <f t="array" aca="1" ref="P16" ca="1">IF(AUTOEVENTO="Manual",ROUND(SUMPRODUCT((CÁLCULO!$M$15:$M$27=EVENTOS!$C16)*(OFFSET(CÁLCULO!$AA$15:$AA$27,0,P$13))),2),0)</f>
        <v>0</v>
      </c>
      <c r="Q16" s="628" cm="1">
        <f t="array" aca="1" ref="Q16" ca="1">IF(AUTOEVENTO="Manual",ROUND(SUMPRODUCT((CÁLCULO!$M$15:$M$27=EVENTOS!$C16)*(OFFSET(CÁLCULO!$AA$15:$AA$27,0,Q$13))),2),0)</f>
        <v>0</v>
      </c>
      <c r="R16" s="628" cm="1">
        <f t="array" aca="1" ref="R16" ca="1">IF(AUTOEVENTO="Manual",ROUND(SUMPRODUCT((CÁLCULO!$M$15:$M$27=EVENTOS!$C16)*(OFFSET(CÁLCULO!$AA$15:$AA$27,0,R$13))),2),0)</f>
        <v>0</v>
      </c>
      <c r="S16" s="628" cm="1">
        <f t="array" aca="1" ref="S16" ca="1">IF(AUTOEVENTO="Manual",ROUND(SUMPRODUCT((CÁLCULO!$M$15:$M$27=EVENTOS!$C16)*(OFFSET(CÁLCULO!$AA$15:$AA$27,0,S$13))),2),0)</f>
        <v>0</v>
      </c>
      <c r="T16" s="628" cm="1">
        <f t="array" aca="1" ref="T16" ca="1">IF(AUTOEVENTO="Manual",ROUND(SUMPRODUCT((CÁLCULO!$M$15:$M$27=EVENTOS!$C16)*(OFFSET(CÁLCULO!$AA$15:$AA$27,0,T$13))),2),0)</f>
        <v>0</v>
      </c>
      <c r="U16" s="628" cm="1">
        <f t="array" aca="1" ref="U16" ca="1">IF(AUTOEVENTO="Manual",ROUND(SUMPRODUCT((CÁLCULO!$M$15:$M$27=EVENTOS!$C16)*(OFFSET(CÁLCULO!$AA$15:$AA$27,0,U$13))),2),0)</f>
        <v>0</v>
      </c>
      <c r="V16" s="628" cm="1">
        <f t="array" aca="1" ref="V16" ca="1">IF(AUTOEVENTO="Manual",ROUND(SUMPRODUCT((CÁLCULO!$M$15:$M$27=EVENTOS!$C16)*(OFFSET(CÁLCULO!$AA$15:$AA$27,0,V$13))),2),0)</f>
        <v>0</v>
      </c>
      <c r="W16" s="628" cm="1">
        <f t="array" aca="1" ref="W16" ca="1">IF(AUTOEVENTO="Manual",ROUND(SUMPRODUCT((CÁLCULO!$M$15:$M$27=EVENTOS!$C16)*(OFFSET(CÁLCULO!$AA$15:$AA$27,0,W$13))),2),0)</f>
        <v>0</v>
      </c>
      <c r="X16" s="628" cm="1">
        <f t="array" aca="1" ref="X16" ca="1">IF(AUTOEVENTO="Manual",ROUND(SUMPRODUCT((CÁLCULO!$M$15:$M$27=EVENTOS!$C16)*(OFFSET(CÁLCULO!$AA$15:$AA$27,0,X$13))),2),0)</f>
        <v>0</v>
      </c>
      <c r="Y16" s="628" cm="1">
        <f t="array" aca="1" ref="Y16" ca="1">IF(AUTOEVENTO="Manual",ROUND(SUMPRODUCT((CÁLCULO!$M$15:$M$27=EVENTOS!$C16)*(OFFSET(CÁLCULO!$AA$15:$AA$27,0,Y$13))),2),0)</f>
        <v>0</v>
      </c>
    </row>
    <row r="17" spans="1:25" x14ac:dyDescent="0.2">
      <c r="A17" s="507" t="str">
        <f t="shared" si="3"/>
        <v/>
      </c>
      <c r="B17" t="str">
        <f t="shared" ca="1" si="4"/>
        <v/>
      </c>
      <c r="C17" s="183" t="str" cm="1">
        <f t="array" aca="1" ref="C17" ca="1">IF(OR(ROW(C17)=ROW(EVENTOS.firstrow)+1,AND(OFFSET(C17,-1,0)&lt;&gt;" ",OFFSET(C17,-1,1)&lt;&gt;"")),OFFSET(C17,-1,0)+1," ")</f>
        <v xml:space="preserve"> </v>
      </c>
      <c r="D17" s="497"/>
      <c r="E17" s="628" cm="1">
        <f t="array" aca="1" ref="E17" ca="1">IF(AUTOEVENTO="Manual",ROUND(SUMPRODUCT((CÁLCULO!$M$15:$M$27=EVENTOS!$C17)*(OFFSET(CÁLCULO!$AA$15:$AA$27,0,E$13))),2),0)</f>
        <v>0</v>
      </c>
      <c r="F17" s="184">
        <f ca="1">IF(AUTOEVENTO="Manual",ROUND(SUMPRODUCT((CÁLCULO!$M$15:$M$27=EVENTOS!$C17)*(OFFSET(CÁLCULO!$AA$15,0,1):OFFSET(CÁLCULO!$AL$27,0,-1))),2),0)</f>
        <v>0</v>
      </c>
      <c r="G17" s="629" t="str">
        <f t="shared" ca="1" si="5"/>
        <v/>
      </c>
      <c r="H17" s="628" cm="1">
        <f t="array" aca="1" ref="H17" ca="1">IF(AUTOEVENTO="Manual",ROUND(SUMPRODUCT((CÁLCULO!$M$15:$M$27=EVENTOS!$C17)*(OFFSET(CÁLCULO!$AA$15:$AA$27,0,H$13))),2),0)</f>
        <v>0</v>
      </c>
      <c r="I17" s="628" cm="1">
        <f t="array" aca="1" ref="I17" ca="1">IF(AUTOEVENTO="Manual",ROUND(SUMPRODUCT((CÁLCULO!$M$15:$M$27=EVENTOS!$C17)*(OFFSET(CÁLCULO!$AA$15:$AA$27,0,I$13))),2),0)</f>
        <v>0</v>
      </c>
      <c r="J17" s="628" cm="1">
        <f t="array" aca="1" ref="J17" ca="1">IF(AUTOEVENTO="Manual",ROUND(SUMPRODUCT((CÁLCULO!$M$15:$M$27=EVENTOS!$C17)*(OFFSET(CÁLCULO!$AA$15:$AA$27,0,J$13))),2),0)</f>
        <v>0</v>
      </c>
      <c r="K17" s="628" cm="1">
        <f t="array" aca="1" ref="K17" ca="1">IF(AUTOEVENTO="Manual",ROUND(SUMPRODUCT((CÁLCULO!$M$15:$M$27=EVENTOS!$C17)*(OFFSET(CÁLCULO!$AA$15:$AA$27,0,K$13))),2),0)</f>
        <v>0</v>
      </c>
      <c r="L17" s="628" cm="1">
        <f t="array" aca="1" ref="L17" ca="1">IF(AUTOEVENTO="Manual",ROUND(SUMPRODUCT((CÁLCULO!$M$15:$M$27=EVENTOS!$C17)*(OFFSET(CÁLCULO!$AA$15:$AA$27,0,L$13))),2),0)</f>
        <v>0</v>
      </c>
      <c r="M17" s="628" cm="1">
        <f t="array" aca="1" ref="M17" ca="1">IF(AUTOEVENTO="Manual",ROUND(SUMPRODUCT((CÁLCULO!$M$15:$M$27=EVENTOS!$C17)*(OFFSET(CÁLCULO!$AA$15:$AA$27,0,M$13))),2),0)</f>
        <v>0</v>
      </c>
      <c r="N17" s="628" cm="1">
        <f t="array" aca="1" ref="N17" ca="1">IF(AUTOEVENTO="Manual",ROUND(SUMPRODUCT((CÁLCULO!$M$15:$M$27=EVENTOS!$C17)*(OFFSET(CÁLCULO!$AA$15:$AA$27,0,N$13))),2),0)</f>
        <v>0</v>
      </c>
      <c r="O17" s="628" cm="1">
        <f t="array" aca="1" ref="O17" ca="1">IF(AUTOEVENTO="Manual",ROUND(SUMPRODUCT((CÁLCULO!$M$15:$M$27=EVENTOS!$C17)*(OFFSET(CÁLCULO!$AA$15:$AA$27,0,O$13))),2),0)</f>
        <v>0</v>
      </c>
      <c r="P17" s="628" cm="1">
        <f t="array" aca="1" ref="P17" ca="1">IF(AUTOEVENTO="Manual",ROUND(SUMPRODUCT((CÁLCULO!$M$15:$M$27=EVENTOS!$C17)*(OFFSET(CÁLCULO!$AA$15:$AA$27,0,P$13))),2),0)</f>
        <v>0</v>
      </c>
      <c r="Q17" s="628" cm="1">
        <f t="array" aca="1" ref="Q17" ca="1">IF(AUTOEVENTO="Manual",ROUND(SUMPRODUCT((CÁLCULO!$M$15:$M$27=EVENTOS!$C17)*(OFFSET(CÁLCULO!$AA$15:$AA$27,0,Q$13))),2),0)</f>
        <v>0</v>
      </c>
      <c r="R17" s="628" cm="1">
        <f t="array" aca="1" ref="R17" ca="1">IF(AUTOEVENTO="Manual",ROUND(SUMPRODUCT((CÁLCULO!$M$15:$M$27=EVENTOS!$C17)*(OFFSET(CÁLCULO!$AA$15:$AA$27,0,R$13))),2),0)</f>
        <v>0</v>
      </c>
      <c r="S17" s="628" cm="1">
        <f t="array" aca="1" ref="S17" ca="1">IF(AUTOEVENTO="Manual",ROUND(SUMPRODUCT((CÁLCULO!$M$15:$M$27=EVENTOS!$C17)*(OFFSET(CÁLCULO!$AA$15:$AA$27,0,S$13))),2),0)</f>
        <v>0</v>
      </c>
      <c r="T17" s="628" cm="1">
        <f t="array" aca="1" ref="T17" ca="1">IF(AUTOEVENTO="Manual",ROUND(SUMPRODUCT((CÁLCULO!$M$15:$M$27=EVENTOS!$C17)*(OFFSET(CÁLCULO!$AA$15:$AA$27,0,T$13))),2),0)</f>
        <v>0</v>
      </c>
      <c r="U17" s="628" cm="1">
        <f t="array" aca="1" ref="U17" ca="1">IF(AUTOEVENTO="Manual",ROUND(SUMPRODUCT((CÁLCULO!$M$15:$M$27=EVENTOS!$C17)*(OFFSET(CÁLCULO!$AA$15:$AA$27,0,U$13))),2),0)</f>
        <v>0</v>
      </c>
      <c r="V17" s="628" cm="1">
        <f t="array" aca="1" ref="V17" ca="1">IF(AUTOEVENTO="Manual",ROUND(SUMPRODUCT((CÁLCULO!$M$15:$M$27=EVENTOS!$C17)*(OFFSET(CÁLCULO!$AA$15:$AA$27,0,V$13))),2),0)</f>
        <v>0</v>
      </c>
      <c r="W17" s="628" cm="1">
        <f t="array" aca="1" ref="W17" ca="1">IF(AUTOEVENTO="Manual",ROUND(SUMPRODUCT((CÁLCULO!$M$15:$M$27=EVENTOS!$C17)*(OFFSET(CÁLCULO!$AA$15:$AA$27,0,W$13))),2),0)</f>
        <v>0</v>
      </c>
      <c r="X17" s="628" cm="1">
        <f t="array" aca="1" ref="X17" ca="1">IF(AUTOEVENTO="Manual",ROUND(SUMPRODUCT((CÁLCULO!$M$15:$M$27=EVENTOS!$C17)*(OFFSET(CÁLCULO!$AA$15:$AA$27,0,X$13))),2),0)</f>
        <v>0</v>
      </c>
      <c r="Y17" s="628" cm="1">
        <f t="array" aca="1" ref="Y17" ca="1">IF(AUTOEVENTO="Manual",ROUND(SUMPRODUCT((CÁLCULO!$M$15:$M$27=EVENTOS!$C17)*(OFFSET(CÁLCULO!$AA$15:$AA$27,0,Y$13))),2),0)</f>
        <v>0</v>
      </c>
    </row>
    <row r="18" spans="1:25" x14ac:dyDescent="0.2">
      <c r="A18" s="507" t="str">
        <f t="shared" si="3"/>
        <v/>
      </c>
      <c r="B18" t="str">
        <f t="shared" ca="1" si="4"/>
        <v/>
      </c>
      <c r="C18" s="183" t="str" cm="1">
        <f t="array" aca="1" ref="C18" ca="1">IF(OR(ROW(C18)=ROW(EVENTOS.firstrow)+1,AND(OFFSET(C18,-1,0)&lt;&gt;" ",OFFSET(C18,-1,1)&lt;&gt;"")),OFFSET(C18,-1,0)+1," ")</f>
        <v xml:space="preserve"> </v>
      </c>
      <c r="D18" s="497"/>
      <c r="E18" s="628" cm="1">
        <f t="array" aca="1" ref="E18" ca="1">IF(AUTOEVENTO="Manual",ROUND(SUMPRODUCT((CÁLCULO!$M$15:$M$27=EVENTOS!$C18)*(OFFSET(CÁLCULO!$AA$15:$AA$27,0,E$13))),2),0)</f>
        <v>0</v>
      </c>
      <c r="F18" s="184">
        <f ca="1">IF(AUTOEVENTO="Manual",ROUND(SUMPRODUCT((CÁLCULO!$M$15:$M$27=EVENTOS!$C18)*(OFFSET(CÁLCULO!$AA$15,0,1):OFFSET(CÁLCULO!$AL$27,0,-1))),2),0)</f>
        <v>0</v>
      </c>
      <c r="G18" s="629" t="str">
        <f t="shared" ca="1" si="5"/>
        <v/>
      </c>
      <c r="H18" s="628" cm="1">
        <f t="array" aca="1" ref="H18" ca="1">IF(AUTOEVENTO="Manual",ROUND(SUMPRODUCT((CÁLCULO!$M$15:$M$27=EVENTOS!$C18)*(OFFSET(CÁLCULO!$AA$15:$AA$27,0,H$13))),2),0)</f>
        <v>0</v>
      </c>
      <c r="I18" s="628" cm="1">
        <f t="array" aca="1" ref="I18" ca="1">IF(AUTOEVENTO="Manual",ROUND(SUMPRODUCT((CÁLCULO!$M$15:$M$27=EVENTOS!$C18)*(OFFSET(CÁLCULO!$AA$15:$AA$27,0,I$13))),2),0)</f>
        <v>0</v>
      </c>
      <c r="J18" s="628" cm="1">
        <f t="array" aca="1" ref="J18" ca="1">IF(AUTOEVENTO="Manual",ROUND(SUMPRODUCT((CÁLCULO!$M$15:$M$27=EVENTOS!$C18)*(OFFSET(CÁLCULO!$AA$15:$AA$27,0,J$13))),2),0)</f>
        <v>0</v>
      </c>
      <c r="K18" s="628" cm="1">
        <f t="array" aca="1" ref="K18" ca="1">IF(AUTOEVENTO="Manual",ROUND(SUMPRODUCT((CÁLCULO!$M$15:$M$27=EVENTOS!$C18)*(OFFSET(CÁLCULO!$AA$15:$AA$27,0,K$13))),2),0)</f>
        <v>0</v>
      </c>
      <c r="L18" s="628" cm="1">
        <f t="array" aca="1" ref="L18" ca="1">IF(AUTOEVENTO="Manual",ROUND(SUMPRODUCT((CÁLCULO!$M$15:$M$27=EVENTOS!$C18)*(OFFSET(CÁLCULO!$AA$15:$AA$27,0,L$13))),2),0)</f>
        <v>0</v>
      </c>
      <c r="M18" s="628" cm="1">
        <f t="array" aca="1" ref="M18" ca="1">IF(AUTOEVENTO="Manual",ROUND(SUMPRODUCT((CÁLCULO!$M$15:$M$27=EVENTOS!$C18)*(OFFSET(CÁLCULO!$AA$15:$AA$27,0,M$13))),2),0)</f>
        <v>0</v>
      </c>
      <c r="N18" s="628" cm="1">
        <f t="array" aca="1" ref="N18" ca="1">IF(AUTOEVENTO="Manual",ROUND(SUMPRODUCT((CÁLCULO!$M$15:$M$27=EVENTOS!$C18)*(OFFSET(CÁLCULO!$AA$15:$AA$27,0,N$13))),2),0)</f>
        <v>0</v>
      </c>
      <c r="O18" s="628" cm="1">
        <f t="array" aca="1" ref="O18" ca="1">IF(AUTOEVENTO="Manual",ROUND(SUMPRODUCT((CÁLCULO!$M$15:$M$27=EVENTOS!$C18)*(OFFSET(CÁLCULO!$AA$15:$AA$27,0,O$13))),2),0)</f>
        <v>0</v>
      </c>
      <c r="P18" s="628" cm="1">
        <f t="array" aca="1" ref="P18" ca="1">IF(AUTOEVENTO="Manual",ROUND(SUMPRODUCT((CÁLCULO!$M$15:$M$27=EVENTOS!$C18)*(OFFSET(CÁLCULO!$AA$15:$AA$27,0,P$13))),2),0)</f>
        <v>0</v>
      </c>
      <c r="Q18" s="628" cm="1">
        <f t="array" aca="1" ref="Q18" ca="1">IF(AUTOEVENTO="Manual",ROUND(SUMPRODUCT((CÁLCULO!$M$15:$M$27=EVENTOS!$C18)*(OFFSET(CÁLCULO!$AA$15:$AA$27,0,Q$13))),2),0)</f>
        <v>0</v>
      </c>
      <c r="R18" s="628" cm="1">
        <f t="array" aca="1" ref="R18" ca="1">IF(AUTOEVENTO="Manual",ROUND(SUMPRODUCT((CÁLCULO!$M$15:$M$27=EVENTOS!$C18)*(OFFSET(CÁLCULO!$AA$15:$AA$27,0,R$13))),2),0)</f>
        <v>0</v>
      </c>
      <c r="S18" s="628" cm="1">
        <f t="array" aca="1" ref="S18" ca="1">IF(AUTOEVENTO="Manual",ROUND(SUMPRODUCT((CÁLCULO!$M$15:$M$27=EVENTOS!$C18)*(OFFSET(CÁLCULO!$AA$15:$AA$27,0,S$13))),2),0)</f>
        <v>0</v>
      </c>
      <c r="T18" s="628" cm="1">
        <f t="array" aca="1" ref="T18" ca="1">IF(AUTOEVENTO="Manual",ROUND(SUMPRODUCT((CÁLCULO!$M$15:$M$27=EVENTOS!$C18)*(OFFSET(CÁLCULO!$AA$15:$AA$27,0,T$13))),2),0)</f>
        <v>0</v>
      </c>
      <c r="U18" s="628" cm="1">
        <f t="array" aca="1" ref="U18" ca="1">IF(AUTOEVENTO="Manual",ROUND(SUMPRODUCT((CÁLCULO!$M$15:$M$27=EVENTOS!$C18)*(OFFSET(CÁLCULO!$AA$15:$AA$27,0,U$13))),2),0)</f>
        <v>0</v>
      </c>
      <c r="V18" s="628" cm="1">
        <f t="array" aca="1" ref="V18" ca="1">IF(AUTOEVENTO="Manual",ROUND(SUMPRODUCT((CÁLCULO!$M$15:$M$27=EVENTOS!$C18)*(OFFSET(CÁLCULO!$AA$15:$AA$27,0,V$13))),2),0)</f>
        <v>0</v>
      </c>
      <c r="W18" s="628" cm="1">
        <f t="array" aca="1" ref="W18" ca="1">IF(AUTOEVENTO="Manual",ROUND(SUMPRODUCT((CÁLCULO!$M$15:$M$27=EVENTOS!$C18)*(OFFSET(CÁLCULO!$AA$15:$AA$27,0,W$13))),2),0)</f>
        <v>0</v>
      </c>
      <c r="X18" s="628" cm="1">
        <f t="array" aca="1" ref="X18" ca="1">IF(AUTOEVENTO="Manual",ROUND(SUMPRODUCT((CÁLCULO!$M$15:$M$27=EVENTOS!$C18)*(OFFSET(CÁLCULO!$AA$15:$AA$27,0,X$13))),2),0)</f>
        <v>0</v>
      </c>
      <c r="Y18" s="628" cm="1">
        <f t="array" aca="1" ref="Y18" ca="1">IF(AUTOEVENTO="Manual",ROUND(SUMPRODUCT((CÁLCULO!$M$15:$M$27=EVENTOS!$C18)*(OFFSET(CÁLCULO!$AA$15:$AA$27,0,Y$13))),2),0)</f>
        <v>0</v>
      </c>
    </row>
    <row r="19" spans="1:25" x14ac:dyDescent="0.2">
      <c r="A19" s="507" t="str">
        <f t="shared" si="3"/>
        <v/>
      </c>
      <c r="B19" t="str">
        <f t="shared" ca="1" si="4"/>
        <v/>
      </c>
      <c r="C19" s="183" t="str" cm="1">
        <f t="array" aca="1" ref="C19" ca="1">IF(OR(ROW(C19)=ROW(EVENTOS.firstrow)+1,AND(OFFSET(C19,-1,0)&lt;&gt;" ",OFFSET(C19,-1,1)&lt;&gt;"")),OFFSET(C19,-1,0)+1," ")</f>
        <v xml:space="preserve"> </v>
      </c>
      <c r="D19" s="497"/>
      <c r="E19" s="628" cm="1">
        <f t="array" aca="1" ref="E19" ca="1">IF(AUTOEVENTO="Manual",ROUND(SUMPRODUCT((CÁLCULO!$M$15:$M$27=EVENTOS!$C19)*(OFFSET(CÁLCULO!$AA$15:$AA$27,0,E$13))),2),0)</f>
        <v>0</v>
      </c>
      <c r="F19" s="184">
        <f ca="1">IF(AUTOEVENTO="Manual",ROUND(SUMPRODUCT((CÁLCULO!$M$15:$M$27=EVENTOS!$C19)*(OFFSET(CÁLCULO!$AA$15,0,1):OFFSET(CÁLCULO!$AL$27,0,-1))),2),0)</f>
        <v>0</v>
      </c>
      <c r="G19" s="629" t="str">
        <f t="shared" ca="1" si="5"/>
        <v/>
      </c>
      <c r="H19" s="628" cm="1">
        <f t="array" aca="1" ref="H19" ca="1">IF(AUTOEVENTO="Manual",ROUND(SUMPRODUCT((CÁLCULO!$M$15:$M$27=EVENTOS!$C19)*(OFFSET(CÁLCULO!$AA$15:$AA$27,0,H$13))),2),0)</f>
        <v>0</v>
      </c>
      <c r="I19" s="628" cm="1">
        <f t="array" aca="1" ref="I19" ca="1">IF(AUTOEVENTO="Manual",ROUND(SUMPRODUCT((CÁLCULO!$M$15:$M$27=EVENTOS!$C19)*(OFFSET(CÁLCULO!$AA$15:$AA$27,0,I$13))),2),0)</f>
        <v>0</v>
      </c>
      <c r="J19" s="628" cm="1">
        <f t="array" aca="1" ref="J19" ca="1">IF(AUTOEVENTO="Manual",ROUND(SUMPRODUCT((CÁLCULO!$M$15:$M$27=EVENTOS!$C19)*(OFFSET(CÁLCULO!$AA$15:$AA$27,0,J$13))),2),0)</f>
        <v>0</v>
      </c>
      <c r="K19" s="628" cm="1">
        <f t="array" aca="1" ref="K19" ca="1">IF(AUTOEVENTO="Manual",ROUND(SUMPRODUCT((CÁLCULO!$M$15:$M$27=EVENTOS!$C19)*(OFFSET(CÁLCULO!$AA$15:$AA$27,0,K$13))),2),0)</f>
        <v>0</v>
      </c>
      <c r="L19" s="628" cm="1">
        <f t="array" aca="1" ref="L19" ca="1">IF(AUTOEVENTO="Manual",ROUND(SUMPRODUCT((CÁLCULO!$M$15:$M$27=EVENTOS!$C19)*(OFFSET(CÁLCULO!$AA$15:$AA$27,0,L$13))),2),0)</f>
        <v>0</v>
      </c>
      <c r="M19" s="628" cm="1">
        <f t="array" aca="1" ref="M19" ca="1">IF(AUTOEVENTO="Manual",ROUND(SUMPRODUCT((CÁLCULO!$M$15:$M$27=EVENTOS!$C19)*(OFFSET(CÁLCULO!$AA$15:$AA$27,0,M$13))),2),0)</f>
        <v>0</v>
      </c>
      <c r="N19" s="628" cm="1">
        <f t="array" aca="1" ref="N19" ca="1">IF(AUTOEVENTO="Manual",ROUND(SUMPRODUCT((CÁLCULO!$M$15:$M$27=EVENTOS!$C19)*(OFFSET(CÁLCULO!$AA$15:$AA$27,0,N$13))),2),0)</f>
        <v>0</v>
      </c>
      <c r="O19" s="628" cm="1">
        <f t="array" aca="1" ref="O19" ca="1">IF(AUTOEVENTO="Manual",ROUND(SUMPRODUCT((CÁLCULO!$M$15:$M$27=EVENTOS!$C19)*(OFFSET(CÁLCULO!$AA$15:$AA$27,0,O$13))),2),0)</f>
        <v>0</v>
      </c>
      <c r="P19" s="628" cm="1">
        <f t="array" aca="1" ref="P19" ca="1">IF(AUTOEVENTO="Manual",ROUND(SUMPRODUCT((CÁLCULO!$M$15:$M$27=EVENTOS!$C19)*(OFFSET(CÁLCULO!$AA$15:$AA$27,0,P$13))),2),0)</f>
        <v>0</v>
      </c>
      <c r="Q19" s="628" cm="1">
        <f t="array" aca="1" ref="Q19" ca="1">IF(AUTOEVENTO="Manual",ROUND(SUMPRODUCT((CÁLCULO!$M$15:$M$27=EVENTOS!$C19)*(OFFSET(CÁLCULO!$AA$15:$AA$27,0,Q$13))),2),0)</f>
        <v>0</v>
      </c>
      <c r="R19" s="628" cm="1">
        <f t="array" aca="1" ref="R19" ca="1">IF(AUTOEVENTO="Manual",ROUND(SUMPRODUCT((CÁLCULO!$M$15:$M$27=EVENTOS!$C19)*(OFFSET(CÁLCULO!$AA$15:$AA$27,0,R$13))),2),0)</f>
        <v>0</v>
      </c>
      <c r="S19" s="628" cm="1">
        <f t="array" aca="1" ref="S19" ca="1">IF(AUTOEVENTO="Manual",ROUND(SUMPRODUCT((CÁLCULO!$M$15:$M$27=EVENTOS!$C19)*(OFFSET(CÁLCULO!$AA$15:$AA$27,0,S$13))),2),0)</f>
        <v>0</v>
      </c>
      <c r="T19" s="628" cm="1">
        <f t="array" aca="1" ref="T19" ca="1">IF(AUTOEVENTO="Manual",ROUND(SUMPRODUCT((CÁLCULO!$M$15:$M$27=EVENTOS!$C19)*(OFFSET(CÁLCULO!$AA$15:$AA$27,0,T$13))),2),0)</f>
        <v>0</v>
      </c>
      <c r="U19" s="628" cm="1">
        <f t="array" aca="1" ref="U19" ca="1">IF(AUTOEVENTO="Manual",ROUND(SUMPRODUCT((CÁLCULO!$M$15:$M$27=EVENTOS!$C19)*(OFFSET(CÁLCULO!$AA$15:$AA$27,0,U$13))),2),0)</f>
        <v>0</v>
      </c>
      <c r="V19" s="628" cm="1">
        <f t="array" aca="1" ref="V19" ca="1">IF(AUTOEVENTO="Manual",ROUND(SUMPRODUCT((CÁLCULO!$M$15:$M$27=EVENTOS!$C19)*(OFFSET(CÁLCULO!$AA$15:$AA$27,0,V$13))),2),0)</f>
        <v>0</v>
      </c>
      <c r="W19" s="628" cm="1">
        <f t="array" aca="1" ref="W19" ca="1">IF(AUTOEVENTO="Manual",ROUND(SUMPRODUCT((CÁLCULO!$M$15:$M$27=EVENTOS!$C19)*(OFFSET(CÁLCULO!$AA$15:$AA$27,0,W$13))),2),0)</f>
        <v>0</v>
      </c>
      <c r="X19" s="628" cm="1">
        <f t="array" aca="1" ref="X19" ca="1">IF(AUTOEVENTO="Manual",ROUND(SUMPRODUCT((CÁLCULO!$M$15:$M$27=EVENTOS!$C19)*(OFFSET(CÁLCULO!$AA$15:$AA$27,0,X$13))),2),0)</f>
        <v>0</v>
      </c>
      <c r="Y19" s="628" cm="1">
        <f t="array" aca="1" ref="Y19" ca="1">IF(AUTOEVENTO="Manual",ROUND(SUMPRODUCT((CÁLCULO!$M$15:$M$27=EVENTOS!$C19)*(OFFSET(CÁLCULO!$AA$15:$AA$27,0,Y$13))),2),0)</f>
        <v>0</v>
      </c>
    </row>
    <row r="20" spans="1:25" x14ac:dyDescent="0.2">
      <c r="A20" s="507" t="str">
        <f t="shared" si="3"/>
        <v/>
      </c>
      <c r="B20" t="str">
        <f t="shared" ca="1" si="4"/>
        <v/>
      </c>
      <c r="C20" s="183" t="str" cm="1">
        <f t="array" aca="1" ref="C20" ca="1">IF(OR(ROW(C20)=ROW(EVENTOS.firstrow)+1,AND(OFFSET(C20,-1,0)&lt;&gt;" ",OFFSET(C20,-1,1)&lt;&gt;"")),OFFSET(C20,-1,0)+1," ")</f>
        <v xml:space="preserve"> </v>
      </c>
      <c r="D20" s="497"/>
      <c r="E20" s="628" cm="1">
        <f t="array" aca="1" ref="E20" ca="1">IF(AUTOEVENTO="Manual",ROUND(SUMPRODUCT((CÁLCULO!$M$15:$M$27=EVENTOS!$C20)*(OFFSET(CÁLCULO!$AA$15:$AA$27,0,E$13))),2),0)</f>
        <v>0</v>
      </c>
      <c r="F20" s="184">
        <f ca="1">IF(AUTOEVENTO="Manual",ROUND(SUMPRODUCT((CÁLCULO!$M$15:$M$27=EVENTOS!$C20)*(OFFSET(CÁLCULO!$AA$15,0,1):OFFSET(CÁLCULO!$AL$27,0,-1))),2),0)</f>
        <v>0</v>
      </c>
      <c r="G20" s="629" t="str">
        <f t="shared" ca="1" si="5"/>
        <v/>
      </c>
      <c r="H20" s="628" cm="1">
        <f t="array" aca="1" ref="H20" ca="1">IF(AUTOEVENTO="Manual",ROUND(SUMPRODUCT((CÁLCULO!$M$15:$M$27=EVENTOS!$C20)*(OFFSET(CÁLCULO!$AA$15:$AA$27,0,H$13))),2),0)</f>
        <v>0</v>
      </c>
      <c r="I20" s="628" cm="1">
        <f t="array" aca="1" ref="I20" ca="1">IF(AUTOEVENTO="Manual",ROUND(SUMPRODUCT((CÁLCULO!$M$15:$M$27=EVENTOS!$C20)*(OFFSET(CÁLCULO!$AA$15:$AA$27,0,I$13))),2),0)</f>
        <v>0</v>
      </c>
      <c r="J20" s="628" cm="1">
        <f t="array" aca="1" ref="J20" ca="1">IF(AUTOEVENTO="Manual",ROUND(SUMPRODUCT((CÁLCULO!$M$15:$M$27=EVENTOS!$C20)*(OFFSET(CÁLCULO!$AA$15:$AA$27,0,J$13))),2),0)</f>
        <v>0</v>
      </c>
      <c r="K20" s="628" cm="1">
        <f t="array" aca="1" ref="K20" ca="1">IF(AUTOEVENTO="Manual",ROUND(SUMPRODUCT((CÁLCULO!$M$15:$M$27=EVENTOS!$C20)*(OFFSET(CÁLCULO!$AA$15:$AA$27,0,K$13))),2),0)</f>
        <v>0</v>
      </c>
      <c r="L20" s="628" cm="1">
        <f t="array" aca="1" ref="L20" ca="1">IF(AUTOEVENTO="Manual",ROUND(SUMPRODUCT((CÁLCULO!$M$15:$M$27=EVENTOS!$C20)*(OFFSET(CÁLCULO!$AA$15:$AA$27,0,L$13))),2),0)</f>
        <v>0</v>
      </c>
      <c r="M20" s="628" cm="1">
        <f t="array" aca="1" ref="M20" ca="1">IF(AUTOEVENTO="Manual",ROUND(SUMPRODUCT((CÁLCULO!$M$15:$M$27=EVENTOS!$C20)*(OFFSET(CÁLCULO!$AA$15:$AA$27,0,M$13))),2),0)</f>
        <v>0</v>
      </c>
      <c r="N20" s="628" cm="1">
        <f t="array" aca="1" ref="N20" ca="1">IF(AUTOEVENTO="Manual",ROUND(SUMPRODUCT((CÁLCULO!$M$15:$M$27=EVENTOS!$C20)*(OFFSET(CÁLCULO!$AA$15:$AA$27,0,N$13))),2),0)</f>
        <v>0</v>
      </c>
      <c r="O20" s="628" cm="1">
        <f t="array" aca="1" ref="O20" ca="1">IF(AUTOEVENTO="Manual",ROUND(SUMPRODUCT((CÁLCULO!$M$15:$M$27=EVENTOS!$C20)*(OFFSET(CÁLCULO!$AA$15:$AA$27,0,O$13))),2),0)</f>
        <v>0</v>
      </c>
      <c r="P20" s="628" cm="1">
        <f t="array" aca="1" ref="P20" ca="1">IF(AUTOEVENTO="Manual",ROUND(SUMPRODUCT((CÁLCULO!$M$15:$M$27=EVENTOS!$C20)*(OFFSET(CÁLCULO!$AA$15:$AA$27,0,P$13))),2),0)</f>
        <v>0</v>
      </c>
      <c r="Q20" s="628" cm="1">
        <f t="array" aca="1" ref="Q20" ca="1">IF(AUTOEVENTO="Manual",ROUND(SUMPRODUCT((CÁLCULO!$M$15:$M$27=EVENTOS!$C20)*(OFFSET(CÁLCULO!$AA$15:$AA$27,0,Q$13))),2),0)</f>
        <v>0</v>
      </c>
      <c r="R20" s="628" cm="1">
        <f t="array" aca="1" ref="R20" ca="1">IF(AUTOEVENTO="Manual",ROUND(SUMPRODUCT((CÁLCULO!$M$15:$M$27=EVENTOS!$C20)*(OFFSET(CÁLCULO!$AA$15:$AA$27,0,R$13))),2),0)</f>
        <v>0</v>
      </c>
      <c r="S20" s="628" cm="1">
        <f t="array" aca="1" ref="S20" ca="1">IF(AUTOEVENTO="Manual",ROUND(SUMPRODUCT((CÁLCULO!$M$15:$M$27=EVENTOS!$C20)*(OFFSET(CÁLCULO!$AA$15:$AA$27,0,S$13))),2),0)</f>
        <v>0</v>
      </c>
      <c r="T20" s="628" cm="1">
        <f t="array" aca="1" ref="T20" ca="1">IF(AUTOEVENTO="Manual",ROUND(SUMPRODUCT((CÁLCULO!$M$15:$M$27=EVENTOS!$C20)*(OFFSET(CÁLCULO!$AA$15:$AA$27,0,T$13))),2),0)</f>
        <v>0</v>
      </c>
      <c r="U20" s="628" cm="1">
        <f t="array" aca="1" ref="U20" ca="1">IF(AUTOEVENTO="Manual",ROUND(SUMPRODUCT((CÁLCULO!$M$15:$M$27=EVENTOS!$C20)*(OFFSET(CÁLCULO!$AA$15:$AA$27,0,U$13))),2),0)</f>
        <v>0</v>
      </c>
      <c r="V20" s="628" cm="1">
        <f t="array" aca="1" ref="V20" ca="1">IF(AUTOEVENTO="Manual",ROUND(SUMPRODUCT((CÁLCULO!$M$15:$M$27=EVENTOS!$C20)*(OFFSET(CÁLCULO!$AA$15:$AA$27,0,V$13))),2),0)</f>
        <v>0</v>
      </c>
      <c r="W20" s="628" cm="1">
        <f t="array" aca="1" ref="W20" ca="1">IF(AUTOEVENTO="Manual",ROUND(SUMPRODUCT((CÁLCULO!$M$15:$M$27=EVENTOS!$C20)*(OFFSET(CÁLCULO!$AA$15:$AA$27,0,W$13))),2),0)</f>
        <v>0</v>
      </c>
      <c r="X20" s="628" cm="1">
        <f t="array" aca="1" ref="X20" ca="1">IF(AUTOEVENTO="Manual",ROUND(SUMPRODUCT((CÁLCULO!$M$15:$M$27=EVENTOS!$C20)*(OFFSET(CÁLCULO!$AA$15:$AA$27,0,X$13))),2),0)</f>
        <v>0</v>
      </c>
      <c r="Y20" s="628" cm="1">
        <f t="array" aca="1" ref="Y20" ca="1">IF(AUTOEVENTO="Manual",ROUND(SUMPRODUCT((CÁLCULO!$M$15:$M$27=EVENTOS!$C20)*(OFFSET(CÁLCULO!$AA$15:$AA$27,0,Y$13))),2),0)</f>
        <v>0</v>
      </c>
    </row>
    <row r="21" spans="1:25" x14ac:dyDescent="0.2">
      <c r="A21" s="507" t="str">
        <f t="shared" si="3"/>
        <v/>
      </c>
      <c r="B21" t="str">
        <f t="shared" ca="1" si="4"/>
        <v/>
      </c>
      <c r="C21" s="183" t="str" cm="1">
        <f t="array" aca="1" ref="C21" ca="1">IF(OR(ROW(C21)=ROW(EVENTOS.firstrow)+1,AND(OFFSET(C21,-1,0)&lt;&gt;" ",OFFSET(C21,-1,1)&lt;&gt;"")),OFFSET(C21,-1,0)+1," ")</f>
        <v xml:space="preserve"> </v>
      </c>
      <c r="D21" s="497"/>
      <c r="E21" s="628" cm="1">
        <f t="array" aca="1" ref="E21" ca="1">IF(AUTOEVENTO="Manual",ROUND(SUMPRODUCT((CÁLCULO!$M$15:$M$27=EVENTOS!$C21)*(OFFSET(CÁLCULO!$AA$15:$AA$27,0,E$13))),2),0)</f>
        <v>0</v>
      </c>
      <c r="F21" s="184">
        <f ca="1">IF(AUTOEVENTO="Manual",ROUND(SUMPRODUCT((CÁLCULO!$M$15:$M$27=EVENTOS!$C21)*(OFFSET(CÁLCULO!$AA$15,0,1):OFFSET(CÁLCULO!$AL$27,0,-1))),2),0)</f>
        <v>0</v>
      </c>
      <c r="G21" s="629" t="str">
        <f t="shared" ca="1" si="5"/>
        <v/>
      </c>
      <c r="H21" s="628" cm="1">
        <f t="array" aca="1" ref="H21" ca="1">IF(AUTOEVENTO="Manual",ROUND(SUMPRODUCT((CÁLCULO!$M$15:$M$27=EVENTOS!$C21)*(OFFSET(CÁLCULO!$AA$15:$AA$27,0,H$13))),2),0)</f>
        <v>0</v>
      </c>
      <c r="I21" s="628" cm="1">
        <f t="array" aca="1" ref="I21" ca="1">IF(AUTOEVENTO="Manual",ROUND(SUMPRODUCT((CÁLCULO!$M$15:$M$27=EVENTOS!$C21)*(OFFSET(CÁLCULO!$AA$15:$AA$27,0,I$13))),2),0)</f>
        <v>0</v>
      </c>
      <c r="J21" s="628" cm="1">
        <f t="array" aca="1" ref="J21" ca="1">IF(AUTOEVENTO="Manual",ROUND(SUMPRODUCT((CÁLCULO!$M$15:$M$27=EVENTOS!$C21)*(OFFSET(CÁLCULO!$AA$15:$AA$27,0,J$13))),2),0)</f>
        <v>0</v>
      </c>
      <c r="K21" s="628" cm="1">
        <f t="array" aca="1" ref="K21" ca="1">IF(AUTOEVENTO="Manual",ROUND(SUMPRODUCT((CÁLCULO!$M$15:$M$27=EVENTOS!$C21)*(OFFSET(CÁLCULO!$AA$15:$AA$27,0,K$13))),2),0)</f>
        <v>0</v>
      </c>
      <c r="L21" s="628" cm="1">
        <f t="array" aca="1" ref="L21" ca="1">IF(AUTOEVENTO="Manual",ROUND(SUMPRODUCT((CÁLCULO!$M$15:$M$27=EVENTOS!$C21)*(OFFSET(CÁLCULO!$AA$15:$AA$27,0,L$13))),2),0)</f>
        <v>0</v>
      </c>
      <c r="M21" s="628" cm="1">
        <f t="array" aca="1" ref="M21" ca="1">IF(AUTOEVENTO="Manual",ROUND(SUMPRODUCT((CÁLCULO!$M$15:$M$27=EVENTOS!$C21)*(OFFSET(CÁLCULO!$AA$15:$AA$27,0,M$13))),2),0)</f>
        <v>0</v>
      </c>
      <c r="N21" s="628" cm="1">
        <f t="array" aca="1" ref="N21" ca="1">IF(AUTOEVENTO="Manual",ROUND(SUMPRODUCT((CÁLCULO!$M$15:$M$27=EVENTOS!$C21)*(OFFSET(CÁLCULO!$AA$15:$AA$27,0,N$13))),2),0)</f>
        <v>0</v>
      </c>
      <c r="O21" s="628" cm="1">
        <f t="array" aca="1" ref="O21" ca="1">IF(AUTOEVENTO="Manual",ROUND(SUMPRODUCT((CÁLCULO!$M$15:$M$27=EVENTOS!$C21)*(OFFSET(CÁLCULO!$AA$15:$AA$27,0,O$13))),2),0)</f>
        <v>0</v>
      </c>
      <c r="P21" s="628" cm="1">
        <f t="array" aca="1" ref="P21" ca="1">IF(AUTOEVENTO="Manual",ROUND(SUMPRODUCT((CÁLCULO!$M$15:$M$27=EVENTOS!$C21)*(OFFSET(CÁLCULO!$AA$15:$AA$27,0,P$13))),2),0)</f>
        <v>0</v>
      </c>
      <c r="Q21" s="628" cm="1">
        <f t="array" aca="1" ref="Q21" ca="1">IF(AUTOEVENTO="Manual",ROUND(SUMPRODUCT((CÁLCULO!$M$15:$M$27=EVENTOS!$C21)*(OFFSET(CÁLCULO!$AA$15:$AA$27,0,Q$13))),2),0)</f>
        <v>0</v>
      </c>
      <c r="R21" s="628" cm="1">
        <f t="array" aca="1" ref="R21" ca="1">IF(AUTOEVENTO="Manual",ROUND(SUMPRODUCT((CÁLCULO!$M$15:$M$27=EVENTOS!$C21)*(OFFSET(CÁLCULO!$AA$15:$AA$27,0,R$13))),2),0)</f>
        <v>0</v>
      </c>
      <c r="S21" s="628" cm="1">
        <f t="array" aca="1" ref="S21" ca="1">IF(AUTOEVENTO="Manual",ROUND(SUMPRODUCT((CÁLCULO!$M$15:$M$27=EVENTOS!$C21)*(OFFSET(CÁLCULO!$AA$15:$AA$27,0,S$13))),2),0)</f>
        <v>0</v>
      </c>
      <c r="T21" s="628" cm="1">
        <f t="array" aca="1" ref="T21" ca="1">IF(AUTOEVENTO="Manual",ROUND(SUMPRODUCT((CÁLCULO!$M$15:$M$27=EVENTOS!$C21)*(OFFSET(CÁLCULO!$AA$15:$AA$27,0,T$13))),2),0)</f>
        <v>0</v>
      </c>
      <c r="U21" s="628" cm="1">
        <f t="array" aca="1" ref="U21" ca="1">IF(AUTOEVENTO="Manual",ROUND(SUMPRODUCT((CÁLCULO!$M$15:$M$27=EVENTOS!$C21)*(OFFSET(CÁLCULO!$AA$15:$AA$27,0,U$13))),2),0)</f>
        <v>0</v>
      </c>
      <c r="V21" s="628" cm="1">
        <f t="array" aca="1" ref="V21" ca="1">IF(AUTOEVENTO="Manual",ROUND(SUMPRODUCT((CÁLCULO!$M$15:$M$27=EVENTOS!$C21)*(OFFSET(CÁLCULO!$AA$15:$AA$27,0,V$13))),2),0)</f>
        <v>0</v>
      </c>
      <c r="W21" s="628" cm="1">
        <f t="array" aca="1" ref="W21" ca="1">IF(AUTOEVENTO="Manual",ROUND(SUMPRODUCT((CÁLCULO!$M$15:$M$27=EVENTOS!$C21)*(OFFSET(CÁLCULO!$AA$15:$AA$27,0,W$13))),2),0)</f>
        <v>0</v>
      </c>
      <c r="X21" s="628" cm="1">
        <f t="array" aca="1" ref="X21" ca="1">IF(AUTOEVENTO="Manual",ROUND(SUMPRODUCT((CÁLCULO!$M$15:$M$27=EVENTOS!$C21)*(OFFSET(CÁLCULO!$AA$15:$AA$27,0,X$13))),2),0)</f>
        <v>0</v>
      </c>
      <c r="Y21" s="628" cm="1">
        <f t="array" aca="1" ref="Y21" ca="1">IF(AUTOEVENTO="Manual",ROUND(SUMPRODUCT((CÁLCULO!$M$15:$M$27=EVENTOS!$C21)*(OFFSET(CÁLCULO!$AA$15:$AA$27,0,Y$13))),2),0)</f>
        <v>0</v>
      </c>
    </row>
    <row r="22" spans="1:25" x14ac:dyDescent="0.2">
      <c r="A22" s="507" t="str">
        <f t="shared" si="3"/>
        <v/>
      </c>
      <c r="B22" t="str">
        <f t="shared" ca="1" si="4"/>
        <v/>
      </c>
      <c r="C22" s="183" t="str" cm="1">
        <f t="array" aca="1" ref="C22" ca="1">IF(OR(ROW(C22)=ROW(EVENTOS.firstrow)+1,AND(OFFSET(C22,-1,0)&lt;&gt;" ",OFFSET(C22,-1,1)&lt;&gt;"")),OFFSET(C22,-1,0)+1," ")</f>
        <v xml:space="preserve"> </v>
      </c>
      <c r="D22" s="497"/>
      <c r="E22" s="628" cm="1">
        <f t="array" aca="1" ref="E22" ca="1">IF(AUTOEVENTO="Manual",ROUND(SUMPRODUCT((CÁLCULO!$M$15:$M$27=EVENTOS!$C22)*(OFFSET(CÁLCULO!$AA$15:$AA$27,0,E$13))),2),0)</f>
        <v>0</v>
      </c>
      <c r="F22" s="184">
        <f ca="1">IF(AUTOEVENTO="Manual",ROUND(SUMPRODUCT((CÁLCULO!$M$15:$M$27=EVENTOS!$C22)*(OFFSET(CÁLCULO!$AA$15,0,1):OFFSET(CÁLCULO!$AL$27,0,-1))),2),0)</f>
        <v>0</v>
      </c>
      <c r="G22" s="629" t="str">
        <f t="shared" ca="1" si="5"/>
        <v/>
      </c>
      <c r="H22" s="628" cm="1">
        <f t="array" aca="1" ref="H22" ca="1">IF(AUTOEVENTO="Manual",ROUND(SUMPRODUCT((CÁLCULO!$M$15:$M$27=EVENTOS!$C22)*(OFFSET(CÁLCULO!$AA$15:$AA$27,0,H$13))),2),0)</f>
        <v>0</v>
      </c>
      <c r="I22" s="628" cm="1">
        <f t="array" aca="1" ref="I22" ca="1">IF(AUTOEVENTO="Manual",ROUND(SUMPRODUCT((CÁLCULO!$M$15:$M$27=EVENTOS!$C22)*(OFFSET(CÁLCULO!$AA$15:$AA$27,0,I$13))),2),0)</f>
        <v>0</v>
      </c>
      <c r="J22" s="628" cm="1">
        <f t="array" aca="1" ref="J22" ca="1">IF(AUTOEVENTO="Manual",ROUND(SUMPRODUCT((CÁLCULO!$M$15:$M$27=EVENTOS!$C22)*(OFFSET(CÁLCULO!$AA$15:$AA$27,0,J$13))),2),0)</f>
        <v>0</v>
      </c>
      <c r="K22" s="628" cm="1">
        <f t="array" aca="1" ref="K22" ca="1">IF(AUTOEVENTO="Manual",ROUND(SUMPRODUCT((CÁLCULO!$M$15:$M$27=EVENTOS!$C22)*(OFFSET(CÁLCULO!$AA$15:$AA$27,0,K$13))),2),0)</f>
        <v>0</v>
      </c>
      <c r="L22" s="628" cm="1">
        <f t="array" aca="1" ref="L22" ca="1">IF(AUTOEVENTO="Manual",ROUND(SUMPRODUCT((CÁLCULO!$M$15:$M$27=EVENTOS!$C22)*(OFFSET(CÁLCULO!$AA$15:$AA$27,0,L$13))),2),0)</f>
        <v>0</v>
      </c>
      <c r="M22" s="628" cm="1">
        <f t="array" aca="1" ref="M22" ca="1">IF(AUTOEVENTO="Manual",ROUND(SUMPRODUCT((CÁLCULO!$M$15:$M$27=EVENTOS!$C22)*(OFFSET(CÁLCULO!$AA$15:$AA$27,0,M$13))),2),0)</f>
        <v>0</v>
      </c>
      <c r="N22" s="628" cm="1">
        <f t="array" aca="1" ref="N22" ca="1">IF(AUTOEVENTO="Manual",ROUND(SUMPRODUCT((CÁLCULO!$M$15:$M$27=EVENTOS!$C22)*(OFFSET(CÁLCULO!$AA$15:$AA$27,0,N$13))),2),0)</f>
        <v>0</v>
      </c>
      <c r="O22" s="628" cm="1">
        <f t="array" aca="1" ref="O22" ca="1">IF(AUTOEVENTO="Manual",ROUND(SUMPRODUCT((CÁLCULO!$M$15:$M$27=EVENTOS!$C22)*(OFFSET(CÁLCULO!$AA$15:$AA$27,0,O$13))),2),0)</f>
        <v>0</v>
      </c>
      <c r="P22" s="628" cm="1">
        <f t="array" aca="1" ref="P22" ca="1">IF(AUTOEVENTO="Manual",ROUND(SUMPRODUCT((CÁLCULO!$M$15:$M$27=EVENTOS!$C22)*(OFFSET(CÁLCULO!$AA$15:$AA$27,0,P$13))),2),0)</f>
        <v>0</v>
      </c>
      <c r="Q22" s="628" cm="1">
        <f t="array" aca="1" ref="Q22" ca="1">IF(AUTOEVENTO="Manual",ROUND(SUMPRODUCT((CÁLCULO!$M$15:$M$27=EVENTOS!$C22)*(OFFSET(CÁLCULO!$AA$15:$AA$27,0,Q$13))),2),0)</f>
        <v>0</v>
      </c>
      <c r="R22" s="628" cm="1">
        <f t="array" aca="1" ref="R22" ca="1">IF(AUTOEVENTO="Manual",ROUND(SUMPRODUCT((CÁLCULO!$M$15:$M$27=EVENTOS!$C22)*(OFFSET(CÁLCULO!$AA$15:$AA$27,0,R$13))),2),0)</f>
        <v>0</v>
      </c>
      <c r="S22" s="628" cm="1">
        <f t="array" aca="1" ref="S22" ca="1">IF(AUTOEVENTO="Manual",ROUND(SUMPRODUCT((CÁLCULO!$M$15:$M$27=EVENTOS!$C22)*(OFFSET(CÁLCULO!$AA$15:$AA$27,0,S$13))),2),0)</f>
        <v>0</v>
      </c>
      <c r="T22" s="628" cm="1">
        <f t="array" aca="1" ref="T22" ca="1">IF(AUTOEVENTO="Manual",ROUND(SUMPRODUCT((CÁLCULO!$M$15:$M$27=EVENTOS!$C22)*(OFFSET(CÁLCULO!$AA$15:$AA$27,0,T$13))),2),0)</f>
        <v>0</v>
      </c>
      <c r="U22" s="628" cm="1">
        <f t="array" aca="1" ref="U22" ca="1">IF(AUTOEVENTO="Manual",ROUND(SUMPRODUCT((CÁLCULO!$M$15:$M$27=EVENTOS!$C22)*(OFFSET(CÁLCULO!$AA$15:$AA$27,0,U$13))),2),0)</f>
        <v>0</v>
      </c>
      <c r="V22" s="628" cm="1">
        <f t="array" aca="1" ref="V22" ca="1">IF(AUTOEVENTO="Manual",ROUND(SUMPRODUCT((CÁLCULO!$M$15:$M$27=EVENTOS!$C22)*(OFFSET(CÁLCULO!$AA$15:$AA$27,0,V$13))),2),0)</f>
        <v>0</v>
      </c>
      <c r="W22" s="628" cm="1">
        <f t="array" aca="1" ref="W22" ca="1">IF(AUTOEVENTO="Manual",ROUND(SUMPRODUCT((CÁLCULO!$M$15:$M$27=EVENTOS!$C22)*(OFFSET(CÁLCULO!$AA$15:$AA$27,0,W$13))),2),0)</f>
        <v>0</v>
      </c>
      <c r="X22" s="628" cm="1">
        <f t="array" aca="1" ref="X22" ca="1">IF(AUTOEVENTO="Manual",ROUND(SUMPRODUCT((CÁLCULO!$M$15:$M$27=EVENTOS!$C22)*(OFFSET(CÁLCULO!$AA$15:$AA$27,0,X$13))),2),0)</f>
        <v>0</v>
      </c>
      <c r="Y22" s="628" cm="1">
        <f t="array" aca="1" ref="Y22" ca="1">IF(AUTOEVENTO="Manual",ROUND(SUMPRODUCT((CÁLCULO!$M$15:$M$27=EVENTOS!$C22)*(OFFSET(CÁLCULO!$AA$15:$AA$27,0,Y$13))),2),0)</f>
        <v>0</v>
      </c>
    </row>
    <row r="23" spans="1:25" x14ac:dyDescent="0.2">
      <c r="A23" s="507" t="str">
        <f t="shared" si="3"/>
        <v/>
      </c>
      <c r="B23" t="str">
        <f t="shared" ca="1" si="4"/>
        <v/>
      </c>
      <c r="C23" s="183" t="str" cm="1">
        <f t="array" aca="1" ref="C23" ca="1">IF(OR(ROW(C23)=ROW(EVENTOS.firstrow)+1,AND(OFFSET(C23,-1,0)&lt;&gt;" ",OFFSET(C23,-1,1)&lt;&gt;"")),OFFSET(C23,-1,0)+1," ")</f>
        <v xml:space="preserve"> </v>
      </c>
      <c r="D23" s="497"/>
      <c r="E23" s="628" cm="1">
        <f t="array" aca="1" ref="E23" ca="1">IF(AUTOEVENTO="Manual",ROUND(SUMPRODUCT((CÁLCULO!$M$15:$M$27=EVENTOS!$C23)*(OFFSET(CÁLCULO!$AA$15:$AA$27,0,E$13))),2),0)</f>
        <v>0</v>
      </c>
      <c r="F23" s="184">
        <f ca="1">IF(AUTOEVENTO="Manual",ROUND(SUMPRODUCT((CÁLCULO!$M$15:$M$27=EVENTOS!$C23)*(OFFSET(CÁLCULO!$AA$15,0,1):OFFSET(CÁLCULO!$AL$27,0,-1))),2),0)</f>
        <v>0</v>
      </c>
      <c r="G23" s="629" t="str">
        <f t="shared" ca="1" si="5"/>
        <v/>
      </c>
      <c r="H23" s="628" cm="1">
        <f t="array" aca="1" ref="H23" ca="1">IF(AUTOEVENTO="Manual",ROUND(SUMPRODUCT((CÁLCULO!$M$15:$M$27=EVENTOS!$C23)*(OFFSET(CÁLCULO!$AA$15:$AA$27,0,H$13))),2),0)</f>
        <v>0</v>
      </c>
      <c r="I23" s="628" cm="1">
        <f t="array" aca="1" ref="I23" ca="1">IF(AUTOEVENTO="Manual",ROUND(SUMPRODUCT((CÁLCULO!$M$15:$M$27=EVENTOS!$C23)*(OFFSET(CÁLCULO!$AA$15:$AA$27,0,I$13))),2),0)</f>
        <v>0</v>
      </c>
      <c r="J23" s="628" cm="1">
        <f t="array" aca="1" ref="J23" ca="1">IF(AUTOEVENTO="Manual",ROUND(SUMPRODUCT((CÁLCULO!$M$15:$M$27=EVENTOS!$C23)*(OFFSET(CÁLCULO!$AA$15:$AA$27,0,J$13))),2),0)</f>
        <v>0</v>
      </c>
      <c r="K23" s="628" cm="1">
        <f t="array" aca="1" ref="K23" ca="1">IF(AUTOEVENTO="Manual",ROUND(SUMPRODUCT((CÁLCULO!$M$15:$M$27=EVENTOS!$C23)*(OFFSET(CÁLCULO!$AA$15:$AA$27,0,K$13))),2),0)</f>
        <v>0</v>
      </c>
      <c r="L23" s="628" cm="1">
        <f t="array" aca="1" ref="L23" ca="1">IF(AUTOEVENTO="Manual",ROUND(SUMPRODUCT((CÁLCULO!$M$15:$M$27=EVENTOS!$C23)*(OFFSET(CÁLCULO!$AA$15:$AA$27,0,L$13))),2),0)</f>
        <v>0</v>
      </c>
      <c r="M23" s="628" cm="1">
        <f t="array" aca="1" ref="M23" ca="1">IF(AUTOEVENTO="Manual",ROUND(SUMPRODUCT((CÁLCULO!$M$15:$M$27=EVENTOS!$C23)*(OFFSET(CÁLCULO!$AA$15:$AA$27,0,M$13))),2),0)</f>
        <v>0</v>
      </c>
      <c r="N23" s="628" cm="1">
        <f t="array" aca="1" ref="N23" ca="1">IF(AUTOEVENTO="Manual",ROUND(SUMPRODUCT((CÁLCULO!$M$15:$M$27=EVENTOS!$C23)*(OFFSET(CÁLCULO!$AA$15:$AA$27,0,N$13))),2),0)</f>
        <v>0</v>
      </c>
      <c r="O23" s="628" cm="1">
        <f t="array" aca="1" ref="O23" ca="1">IF(AUTOEVENTO="Manual",ROUND(SUMPRODUCT((CÁLCULO!$M$15:$M$27=EVENTOS!$C23)*(OFFSET(CÁLCULO!$AA$15:$AA$27,0,O$13))),2),0)</f>
        <v>0</v>
      </c>
      <c r="P23" s="628" cm="1">
        <f t="array" aca="1" ref="P23" ca="1">IF(AUTOEVENTO="Manual",ROUND(SUMPRODUCT((CÁLCULO!$M$15:$M$27=EVENTOS!$C23)*(OFFSET(CÁLCULO!$AA$15:$AA$27,0,P$13))),2),0)</f>
        <v>0</v>
      </c>
      <c r="Q23" s="628" cm="1">
        <f t="array" aca="1" ref="Q23" ca="1">IF(AUTOEVENTO="Manual",ROUND(SUMPRODUCT((CÁLCULO!$M$15:$M$27=EVENTOS!$C23)*(OFFSET(CÁLCULO!$AA$15:$AA$27,0,Q$13))),2),0)</f>
        <v>0</v>
      </c>
      <c r="R23" s="628" cm="1">
        <f t="array" aca="1" ref="R23" ca="1">IF(AUTOEVENTO="Manual",ROUND(SUMPRODUCT((CÁLCULO!$M$15:$M$27=EVENTOS!$C23)*(OFFSET(CÁLCULO!$AA$15:$AA$27,0,R$13))),2),0)</f>
        <v>0</v>
      </c>
      <c r="S23" s="628" cm="1">
        <f t="array" aca="1" ref="S23" ca="1">IF(AUTOEVENTO="Manual",ROUND(SUMPRODUCT((CÁLCULO!$M$15:$M$27=EVENTOS!$C23)*(OFFSET(CÁLCULO!$AA$15:$AA$27,0,S$13))),2),0)</f>
        <v>0</v>
      </c>
      <c r="T23" s="628" cm="1">
        <f t="array" aca="1" ref="T23" ca="1">IF(AUTOEVENTO="Manual",ROUND(SUMPRODUCT((CÁLCULO!$M$15:$M$27=EVENTOS!$C23)*(OFFSET(CÁLCULO!$AA$15:$AA$27,0,T$13))),2),0)</f>
        <v>0</v>
      </c>
      <c r="U23" s="628" cm="1">
        <f t="array" aca="1" ref="U23" ca="1">IF(AUTOEVENTO="Manual",ROUND(SUMPRODUCT((CÁLCULO!$M$15:$M$27=EVENTOS!$C23)*(OFFSET(CÁLCULO!$AA$15:$AA$27,0,U$13))),2),0)</f>
        <v>0</v>
      </c>
      <c r="V23" s="628" cm="1">
        <f t="array" aca="1" ref="V23" ca="1">IF(AUTOEVENTO="Manual",ROUND(SUMPRODUCT((CÁLCULO!$M$15:$M$27=EVENTOS!$C23)*(OFFSET(CÁLCULO!$AA$15:$AA$27,0,V$13))),2),0)</f>
        <v>0</v>
      </c>
      <c r="W23" s="628" cm="1">
        <f t="array" aca="1" ref="W23" ca="1">IF(AUTOEVENTO="Manual",ROUND(SUMPRODUCT((CÁLCULO!$M$15:$M$27=EVENTOS!$C23)*(OFFSET(CÁLCULO!$AA$15:$AA$27,0,W$13))),2),0)</f>
        <v>0</v>
      </c>
      <c r="X23" s="628" cm="1">
        <f t="array" aca="1" ref="X23" ca="1">IF(AUTOEVENTO="Manual",ROUND(SUMPRODUCT((CÁLCULO!$M$15:$M$27=EVENTOS!$C23)*(OFFSET(CÁLCULO!$AA$15:$AA$27,0,X$13))),2),0)</f>
        <v>0</v>
      </c>
      <c r="Y23" s="628" cm="1">
        <f t="array" aca="1" ref="Y23" ca="1">IF(AUTOEVENTO="Manual",ROUND(SUMPRODUCT((CÁLCULO!$M$15:$M$27=EVENTOS!$C23)*(OFFSET(CÁLCULO!$AA$15:$AA$27,0,Y$13))),2),0)</f>
        <v>0</v>
      </c>
    </row>
    <row r="24" spans="1:25" x14ac:dyDescent="0.2">
      <c r="A24" s="507" t="str">
        <f t="shared" si="3"/>
        <v/>
      </c>
      <c r="B24" t="str">
        <f t="shared" ca="1" si="4"/>
        <v/>
      </c>
      <c r="C24" s="183" t="str" cm="1">
        <f t="array" aca="1" ref="C24" ca="1">IF(OR(ROW(C24)=ROW(EVENTOS.firstrow)+1,AND(OFFSET(C24,-1,0)&lt;&gt;" ",OFFSET(C24,-1,1)&lt;&gt;"")),OFFSET(C24,-1,0)+1," ")</f>
        <v xml:space="preserve"> </v>
      </c>
      <c r="D24" s="497"/>
      <c r="E24" s="628" cm="1">
        <f t="array" aca="1" ref="E24" ca="1">IF(AUTOEVENTO="Manual",ROUND(SUMPRODUCT((CÁLCULO!$M$15:$M$27=EVENTOS!$C24)*(OFFSET(CÁLCULO!$AA$15:$AA$27,0,E$13))),2),0)</f>
        <v>0</v>
      </c>
      <c r="F24" s="184">
        <f ca="1">IF(AUTOEVENTO="Manual",ROUND(SUMPRODUCT((CÁLCULO!$M$15:$M$27=EVENTOS!$C24)*(OFFSET(CÁLCULO!$AA$15,0,1):OFFSET(CÁLCULO!$AL$27,0,-1))),2),0)</f>
        <v>0</v>
      </c>
      <c r="G24" s="629" t="str">
        <f t="shared" ca="1" si="5"/>
        <v/>
      </c>
      <c r="H24" s="628" cm="1">
        <f t="array" aca="1" ref="H24" ca="1">IF(AUTOEVENTO="Manual",ROUND(SUMPRODUCT((CÁLCULO!$M$15:$M$27=EVENTOS!$C24)*(OFFSET(CÁLCULO!$AA$15:$AA$27,0,H$13))),2),0)</f>
        <v>0</v>
      </c>
      <c r="I24" s="628" cm="1">
        <f t="array" aca="1" ref="I24" ca="1">IF(AUTOEVENTO="Manual",ROUND(SUMPRODUCT((CÁLCULO!$M$15:$M$27=EVENTOS!$C24)*(OFFSET(CÁLCULO!$AA$15:$AA$27,0,I$13))),2),0)</f>
        <v>0</v>
      </c>
      <c r="J24" s="628" cm="1">
        <f t="array" aca="1" ref="J24" ca="1">IF(AUTOEVENTO="Manual",ROUND(SUMPRODUCT((CÁLCULO!$M$15:$M$27=EVENTOS!$C24)*(OFFSET(CÁLCULO!$AA$15:$AA$27,0,J$13))),2),0)</f>
        <v>0</v>
      </c>
      <c r="K24" s="628" cm="1">
        <f t="array" aca="1" ref="K24" ca="1">IF(AUTOEVENTO="Manual",ROUND(SUMPRODUCT((CÁLCULO!$M$15:$M$27=EVENTOS!$C24)*(OFFSET(CÁLCULO!$AA$15:$AA$27,0,K$13))),2),0)</f>
        <v>0</v>
      </c>
      <c r="L24" s="628" cm="1">
        <f t="array" aca="1" ref="L24" ca="1">IF(AUTOEVENTO="Manual",ROUND(SUMPRODUCT((CÁLCULO!$M$15:$M$27=EVENTOS!$C24)*(OFFSET(CÁLCULO!$AA$15:$AA$27,0,L$13))),2),0)</f>
        <v>0</v>
      </c>
      <c r="M24" s="628" cm="1">
        <f t="array" aca="1" ref="M24" ca="1">IF(AUTOEVENTO="Manual",ROUND(SUMPRODUCT((CÁLCULO!$M$15:$M$27=EVENTOS!$C24)*(OFFSET(CÁLCULO!$AA$15:$AA$27,0,M$13))),2),0)</f>
        <v>0</v>
      </c>
      <c r="N24" s="628" cm="1">
        <f t="array" aca="1" ref="N24" ca="1">IF(AUTOEVENTO="Manual",ROUND(SUMPRODUCT((CÁLCULO!$M$15:$M$27=EVENTOS!$C24)*(OFFSET(CÁLCULO!$AA$15:$AA$27,0,N$13))),2),0)</f>
        <v>0</v>
      </c>
      <c r="O24" s="628" cm="1">
        <f t="array" aca="1" ref="O24" ca="1">IF(AUTOEVENTO="Manual",ROUND(SUMPRODUCT((CÁLCULO!$M$15:$M$27=EVENTOS!$C24)*(OFFSET(CÁLCULO!$AA$15:$AA$27,0,O$13))),2),0)</f>
        <v>0</v>
      </c>
      <c r="P24" s="628" cm="1">
        <f t="array" aca="1" ref="P24" ca="1">IF(AUTOEVENTO="Manual",ROUND(SUMPRODUCT((CÁLCULO!$M$15:$M$27=EVENTOS!$C24)*(OFFSET(CÁLCULO!$AA$15:$AA$27,0,P$13))),2),0)</f>
        <v>0</v>
      </c>
      <c r="Q24" s="628" cm="1">
        <f t="array" aca="1" ref="Q24" ca="1">IF(AUTOEVENTO="Manual",ROUND(SUMPRODUCT((CÁLCULO!$M$15:$M$27=EVENTOS!$C24)*(OFFSET(CÁLCULO!$AA$15:$AA$27,0,Q$13))),2),0)</f>
        <v>0</v>
      </c>
      <c r="R24" s="628" cm="1">
        <f t="array" aca="1" ref="R24" ca="1">IF(AUTOEVENTO="Manual",ROUND(SUMPRODUCT((CÁLCULO!$M$15:$M$27=EVENTOS!$C24)*(OFFSET(CÁLCULO!$AA$15:$AA$27,0,R$13))),2),0)</f>
        <v>0</v>
      </c>
      <c r="S24" s="628" cm="1">
        <f t="array" aca="1" ref="S24" ca="1">IF(AUTOEVENTO="Manual",ROUND(SUMPRODUCT((CÁLCULO!$M$15:$M$27=EVENTOS!$C24)*(OFFSET(CÁLCULO!$AA$15:$AA$27,0,S$13))),2),0)</f>
        <v>0</v>
      </c>
      <c r="T24" s="628" cm="1">
        <f t="array" aca="1" ref="T24" ca="1">IF(AUTOEVENTO="Manual",ROUND(SUMPRODUCT((CÁLCULO!$M$15:$M$27=EVENTOS!$C24)*(OFFSET(CÁLCULO!$AA$15:$AA$27,0,T$13))),2),0)</f>
        <v>0</v>
      </c>
      <c r="U24" s="628" cm="1">
        <f t="array" aca="1" ref="U24" ca="1">IF(AUTOEVENTO="Manual",ROUND(SUMPRODUCT((CÁLCULO!$M$15:$M$27=EVENTOS!$C24)*(OFFSET(CÁLCULO!$AA$15:$AA$27,0,U$13))),2),0)</f>
        <v>0</v>
      </c>
      <c r="V24" s="628" cm="1">
        <f t="array" aca="1" ref="V24" ca="1">IF(AUTOEVENTO="Manual",ROUND(SUMPRODUCT((CÁLCULO!$M$15:$M$27=EVENTOS!$C24)*(OFFSET(CÁLCULO!$AA$15:$AA$27,0,V$13))),2),0)</f>
        <v>0</v>
      </c>
      <c r="W24" s="628" cm="1">
        <f t="array" aca="1" ref="W24" ca="1">IF(AUTOEVENTO="Manual",ROUND(SUMPRODUCT((CÁLCULO!$M$15:$M$27=EVENTOS!$C24)*(OFFSET(CÁLCULO!$AA$15:$AA$27,0,W$13))),2),0)</f>
        <v>0</v>
      </c>
      <c r="X24" s="628" cm="1">
        <f t="array" aca="1" ref="X24" ca="1">IF(AUTOEVENTO="Manual",ROUND(SUMPRODUCT((CÁLCULO!$M$15:$M$27=EVENTOS!$C24)*(OFFSET(CÁLCULO!$AA$15:$AA$27,0,X$13))),2),0)</f>
        <v>0</v>
      </c>
      <c r="Y24" s="628" cm="1">
        <f t="array" aca="1" ref="Y24" ca="1">IF(AUTOEVENTO="Manual",ROUND(SUMPRODUCT((CÁLCULO!$M$15:$M$27=EVENTOS!$C24)*(OFFSET(CÁLCULO!$AA$15:$AA$27,0,Y$13))),2),0)</f>
        <v>0</v>
      </c>
    </row>
    <row r="25" spans="1:25" x14ac:dyDescent="0.2">
      <c r="A25" s="507" t="str">
        <f t="shared" si="3"/>
        <v/>
      </c>
      <c r="B25" t="str">
        <f t="shared" ca="1" si="4"/>
        <v/>
      </c>
      <c r="C25" s="183" t="str" cm="1">
        <f t="array" aca="1" ref="C25" ca="1">IF(OR(ROW(C25)=ROW(EVENTOS.firstrow)+1,AND(OFFSET(C25,-1,0)&lt;&gt;" ",OFFSET(C25,-1,1)&lt;&gt;"")),OFFSET(C25,-1,0)+1," ")</f>
        <v xml:space="preserve"> </v>
      </c>
      <c r="D25" s="497"/>
      <c r="E25" s="628" cm="1">
        <f t="array" aca="1" ref="E25" ca="1">IF(AUTOEVENTO="Manual",ROUND(SUMPRODUCT((CÁLCULO!$M$15:$M$27=EVENTOS!$C25)*(OFFSET(CÁLCULO!$AA$15:$AA$27,0,E$13))),2),0)</f>
        <v>0</v>
      </c>
      <c r="F25" s="184">
        <f ca="1">IF(AUTOEVENTO="Manual",ROUND(SUMPRODUCT((CÁLCULO!$M$15:$M$27=EVENTOS!$C25)*(OFFSET(CÁLCULO!$AA$15,0,1):OFFSET(CÁLCULO!$AL$27,0,-1))),2),0)</f>
        <v>0</v>
      </c>
      <c r="G25" s="629" t="str">
        <f t="shared" ca="1" si="5"/>
        <v/>
      </c>
      <c r="H25" s="628" cm="1">
        <f t="array" aca="1" ref="H25" ca="1">IF(AUTOEVENTO="Manual",ROUND(SUMPRODUCT((CÁLCULO!$M$15:$M$27=EVENTOS!$C25)*(OFFSET(CÁLCULO!$AA$15:$AA$27,0,H$13))),2),0)</f>
        <v>0</v>
      </c>
      <c r="I25" s="628" cm="1">
        <f t="array" aca="1" ref="I25" ca="1">IF(AUTOEVENTO="Manual",ROUND(SUMPRODUCT((CÁLCULO!$M$15:$M$27=EVENTOS!$C25)*(OFFSET(CÁLCULO!$AA$15:$AA$27,0,I$13))),2),0)</f>
        <v>0</v>
      </c>
      <c r="J25" s="628" cm="1">
        <f t="array" aca="1" ref="J25" ca="1">IF(AUTOEVENTO="Manual",ROUND(SUMPRODUCT((CÁLCULO!$M$15:$M$27=EVENTOS!$C25)*(OFFSET(CÁLCULO!$AA$15:$AA$27,0,J$13))),2),0)</f>
        <v>0</v>
      </c>
      <c r="K25" s="628" cm="1">
        <f t="array" aca="1" ref="K25" ca="1">IF(AUTOEVENTO="Manual",ROUND(SUMPRODUCT((CÁLCULO!$M$15:$M$27=EVENTOS!$C25)*(OFFSET(CÁLCULO!$AA$15:$AA$27,0,K$13))),2),0)</f>
        <v>0</v>
      </c>
      <c r="L25" s="628" cm="1">
        <f t="array" aca="1" ref="L25" ca="1">IF(AUTOEVENTO="Manual",ROUND(SUMPRODUCT((CÁLCULO!$M$15:$M$27=EVENTOS!$C25)*(OFFSET(CÁLCULO!$AA$15:$AA$27,0,L$13))),2),0)</f>
        <v>0</v>
      </c>
      <c r="M25" s="628" cm="1">
        <f t="array" aca="1" ref="M25" ca="1">IF(AUTOEVENTO="Manual",ROUND(SUMPRODUCT((CÁLCULO!$M$15:$M$27=EVENTOS!$C25)*(OFFSET(CÁLCULO!$AA$15:$AA$27,0,M$13))),2),0)</f>
        <v>0</v>
      </c>
      <c r="N25" s="628" cm="1">
        <f t="array" aca="1" ref="N25" ca="1">IF(AUTOEVENTO="Manual",ROUND(SUMPRODUCT((CÁLCULO!$M$15:$M$27=EVENTOS!$C25)*(OFFSET(CÁLCULO!$AA$15:$AA$27,0,N$13))),2),0)</f>
        <v>0</v>
      </c>
      <c r="O25" s="628" cm="1">
        <f t="array" aca="1" ref="O25" ca="1">IF(AUTOEVENTO="Manual",ROUND(SUMPRODUCT((CÁLCULO!$M$15:$M$27=EVENTOS!$C25)*(OFFSET(CÁLCULO!$AA$15:$AA$27,0,O$13))),2),0)</f>
        <v>0</v>
      </c>
      <c r="P25" s="628" cm="1">
        <f t="array" aca="1" ref="P25" ca="1">IF(AUTOEVENTO="Manual",ROUND(SUMPRODUCT((CÁLCULO!$M$15:$M$27=EVENTOS!$C25)*(OFFSET(CÁLCULO!$AA$15:$AA$27,0,P$13))),2),0)</f>
        <v>0</v>
      </c>
      <c r="Q25" s="628" cm="1">
        <f t="array" aca="1" ref="Q25" ca="1">IF(AUTOEVENTO="Manual",ROUND(SUMPRODUCT((CÁLCULO!$M$15:$M$27=EVENTOS!$C25)*(OFFSET(CÁLCULO!$AA$15:$AA$27,0,Q$13))),2),0)</f>
        <v>0</v>
      </c>
      <c r="R25" s="628" cm="1">
        <f t="array" aca="1" ref="R25" ca="1">IF(AUTOEVENTO="Manual",ROUND(SUMPRODUCT((CÁLCULO!$M$15:$M$27=EVENTOS!$C25)*(OFFSET(CÁLCULO!$AA$15:$AA$27,0,R$13))),2),0)</f>
        <v>0</v>
      </c>
      <c r="S25" s="628" cm="1">
        <f t="array" aca="1" ref="S25" ca="1">IF(AUTOEVENTO="Manual",ROUND(SUMPRODUCT((CÁLCULO!$M$15:$M$27=EVENTOS!$C25)*(OFFSET(CÁLCULO!$AA$15:$AA$27,0,S$13))),2),0)</f>
        <v>0</v>
      </c>
      <c r="T25" s="628" cm="1">
        <f t="array" aca="1" ref="T25" ca="1">IF(AUTOEVENTO="Manual",ROUND(SUMPRODUCT((CÁLCULO!$M$15:$M$27=EVENTOS!$C25)*(OFFSET(CÁLCULO!$AA$15:$AA$27,0,T$13))),2),0)</f>
        <v>0</v>
      </c>
      <c r="U25" s="628" cm="1">
        <f t="array" aca="1" ref="U25" ca="1">IF(AUTOEVENTO="Manual",ROUND(SUMPRODUCT((CÁLCULO!$M$15:$M$27=EVENTOS!$C25)*(OFFSET(CÁLCULO!$AA$15:$AA$27,0,U$13))),2),0)</f>
        <v>0</v>
      </c>
      <c r="V25" s="628" cm="1">
        <f t="array" aca="1" ref="V25" ca="1">IF(AUTOEVENTO="Manual",ROUND(SUMPRODUCT((CÁLCULO!$M$15:$M$27=EVENTOS!$C25)*(OFFSET(CÁLCULO!$AA$15:$AA$27,0,V$13))),2),0)</f>
        <v>0</v>
      </c>
      <c r="W25" s="628" cm="1">
        <f t="array" aca="1" ref="W25" ca="1">IF(AUTOEVENTO="Manual",ROUND(SUMPRODUCT((CÁLCULO!$M$15:$M$27=EVENTOS!$C25)*(OFFSET(CÁLCULO!$AA$15:$AA$27,0,W$13))),2),0)</f>
        <v>0</v>
      </c>
      <c r="X25" s="628" cm="1">
        <f t="array" aca="1" ref="X25" ca="1">IF(AUTOEVENTO="Manual",ROUND(SUMPRODUCT((CÁLCULO!$M$15:$M$27=EVENTOS!$C25)*(OFFSET(CÁLCULO!$AA$15:$AA$27,0,X$13))),2),0)</f>
        <v>0</v>
      </c>
      <c r="Y25" s="628" cm="1">
        <f t="array" aca="1" ref="Y25" ca="1">IF(AUTOEVENTO="Manual",ROUND(SUMPRODUCT((CÁLCULO!$M$15:$M$27=EVENTOS!$C25)*(OFFSET(CÁLCULO!$AA$15:$AA$27,0,Y$13))),2),0)</f>
        <v>0</v>
      </c>
    </row>
    <row r="26" spans="1:25" x14ac:dyDescent="0.2">
      <c r="A26" s="507" t="str">
        <f t="shared" si="3"/>
        <v/>
      </c>
      <c r="B26" t="str">
        <f t="shared" ca="1" si="4"/>
        <v/>
      </c>
      <c r="C26" s="183" t="str" cm="1">
        <f t="array" aca="1" ref="C26" ca="1">IF(OR(ROW(C26)=ROW(EVENTOS.firstrow)+1,AND(OFFSET(C26,-1,0)&lt;&gt;" ",OFFSET(C26,-1,1)&lt;&gt;"")),OFFSET(C26,-1,0)+1," ")</f>
        <v xml:space="preserve"> </v>
      </c>
      <c r="D26" s="497"/>
      <c r="E26" s="628" cm="1">
        <f t="array" aca="1" ref="E26" ca="1">IF(AUTOEVENTO="Manual",ROUND(SUMPRODUCT((CÁLCULO!$M$15:$M$27=EVENTOS!$C26)*(OFFSET(CÁLCULO!$AA$15:$AA$27,0,E$13))),2),0)</f>
        <v>0</v>
      </c>
      <c r="F26" s="184">
        <f ca="1">IF(AUTOEVENTO="Manual",ROUND(SUMPRODUCT((CÁLCULO!$M$15:$M$27=EVENTOS!$C26)*(OFFSET(CÁLCULO!$AA$15,0,1):OFFSET(CÁLCULO!$AL$27,0,-1))),2),0)</f>
        <v>0</v>
      </c>
      <c r="G26" s="629" t="str">
        <f t="shared" ca="1" si="5"/>
        <v/>
      </c>
      <c r="H26" s="628" cm="1">
        <f t="array" aca="1" ref="H26" ca="1">IF(AUTOEVENTO="Manual",ROUND(SUMPRODUCT((CÁLCULO!$M$15:$M$27=EVENTOS!$C26)*(OFFSET(CÁLCULO!$AA$15:$AA$27,0,H$13))),2),0)</f>
        <v>0</v>
      </c>
      <c r="I26" s="628" cm="1">
        <f t="array" aca="1" ref="I26" ca="1">IF(AUTOEVENTO="Manual",ROUND(SUMPRODUCT((CÁLCULO!$M$15:$M$27=EVENTOS!$C26)*(OFFSET(CÁLCULO!$AA$15:$AA$27,0,I$13))),2),0)</f>
        <v>0</v>
      </c>
      <c r="J26" s="628" cm="1">
        <f t="array" aca="1" ref="J26" ca="1">IF(AUTOEVENTO="Manual",ROUND(SUMPRODUCT((CÁLCULO!$M$15:$M$27=EVENTOS!$C26)*(OFFSET(CÁLCULO!$AA$15:$AA$27,0,J$13))),2),0)</f>
        <v>0</v>
      </c>
      <c r="K26" s="628" cm="1">
        <f t="array" aca="1" ref="K26" ca="1">IF(AUTOEVENTO="Manual",ROUND(SUMPRODUCT((CÁLCULO!$M$15:$M$27=EVENTOS!$C26)*(OFFSET(CÁLCULO!$AA$15:$AA$27,0,K$13))),2),0)</f>
        <v>0</v>
      </c>
      <c r="L26" s="628" cm="1">
        <f t="array" aca="1" ref="L26" ca="1">IF(AUTOEVENTO="Manual",ROUND(SUMPRODUCT((CÁLCULO!$M$15:$M$27=EVENTOS!$C26)*(OFFSET(CÁLCULO!$AA$15:$AA$27,0,L$13))),2),0)</f>
        <v>0</v>
      </c>
      <c r="M26" s="628" cm="1">
        <f t="array" aca="1" ref="M26" ca="1">IF(AUTOEVENTO="Manual",ROUND(SUMPRODUCT((CÁLCULO!$M$15:$M$27=EVENTOS!$C26)*(OFFSET(CÁLCULO!$AA$15:$AA$27,0,M$13))),2),0)</f>
        <v>0</v>
      </c>
      <c r="N26" s="628" cm="1">
        <f t="array" aca="1" ref="N26" ca="1">IF(AUTOEVENTO="Manual",ROUND(SUMPRODUCT((CÁLCULO!$M$15:$M$27=EVENTOS!$C26)*(OFFSET(CÁLCULO!$AA$15:$AA$27,0,N$13))),2),0)</f>
        <v>0</v>
      </c>
      <c r="O26" s="628" cm="1">
        <f t="array" aca="1" ref="O26" ca="1">IF(AUTOEVENTO="Manual",ROUND(SUMPRODUCT((CÁLCULO!$M$15:$M$27=EVENTOS!$C26)*(OFFSET(CÁLCULO!$AA$15:$AA$27,0,O$13))),2),0)</f>
        <v>0</v>
      </c>
      <c r="P26" s="628" cm="1">
        <f t="array" aca="1" ref="P26" ca="1">IF(AUTOEVENTO="Manual",ROUND(SUMPRODUCT((CÁLCULO!$M$15:$M$27=EVENTOS!$C26)*(OFFSET(CÁLCULO!$AA$15:$AA$27,0,P$13))),2),0)</f>
        <v>0</v>
      </c>
      <c r="Q26" s="628" cm="1">
        <f t="array" aca="1" ref="Q26" ca="1">IF(AUTOEVENTO="Manual",ROUND(SUMPRODUCT((CÁLCULO!$M$15:$M$27=EVENTOS!$C26)*(OFFSET(CÁLCULO!$AA$15:$AA$27,0,Q$13))),2),0)</f>
        <v>0</v>
      </c>
      <c r="R26" s="628" cm="1">
        <f t="array" aca="1" ref="R26" ca="1">IF(AUTOEVENTO="Manual",ROUND(SUMPRODUCT((CÁLCULO!$M$15:$M$27=EVENTOS!$C26)*(OFFSET(CÁLCULO!$AA$15:$AA$27,0,R$13))),2),0)</f>
        <v>0</v>
      </c>
      <c r="S26" s="628" cm="1">
        <f t="array" aca="1" ref="S26" ca="1">IF(AUTOEVENTO="Manual",ROUND(SUMPRODUCT((CÁLCULO!$M$15:$M$27=EVENTOS!$C26)*(OFFSET(CÁLCULO!$AA$15:$AA$27,0,S$13))),2),0)</f>
        <v>0</v>
      </c>
      <c r="T26" s="628" cm="1">
        <f t="array" aca="1" ref="T26" ca="1">IF(AUTOEVENTO="Manual",ROUND(SUMPRODUCT((CÁLCULO!$M$15:$M$27=EVENTOS!$C26)*(OFFSET(CÁLCULO!$AA$15:$AA$27,0,T$13))),2),0)</f>
        <v>0</v>
      </c>
      <c r="U26" s="628" cm="1">
        <f t="array" aca="1" ref="U26" ca="1">IF(AUTOEVENTO="Manual",ROUND(SUMPRODUCT((CÁLCULO!$M$15:$M$27=EVENTOS!$C26)*(OFFSET(CÁLCULO!$AA$15:$AA$27,0,U$13))),2),0)</f>
        <v>0</v>
      </c>
      <c r="V26" s="628" cm="1">
        <f t="array" aca="1" ref="V26" ca="1">IF(AUTOEVENTO="Manual",ROUND(SUMPRODUCT((CÁLCULO!$M$15:$M$27=EVENTOS!$C26)*(OFFSET(CÁLCULO!$AA$15:$AA$27,0,V$13))),2),0)</f>
        <v>0</v>
      </c>
      <c r="W26" s="628" cm="1">
        <f t="array" aca="1" ref="W26" ca="1">IF(AUTOEVENTO="Manual",ROUND(SUMPRODUCT((CÁLCULO!$M$15:$M$27=EVENTOS!$C26)*(OFFSET(CÁLCULO!$AA$15:$AA$27,0,W$13))),2),0)</f>
        <v>0</v>
      </c>
      <c r="X26" s="628" cm="1">
        <f t="array" aca="1" ref="X26" ca="1">IF(AUTOEVENTO="Manual",ROUND(SUMPRODUCT((CÁLCULO!$M$15:$M$27=EVENTOS!$C26)*(OFFSET(CÁLCULO!$AA$15:$AA$27,0,X$13))),2),0)</f>
        <v>0</v>
      </c>
      <c r="Y26" s="628" cm="1">
        <f t="array" aca="1" ref="Y26" ca="1">IF(AUTOEVENTO="Manual",ROUND(SUMPRODUCT((CÁLCULO!$M$15:$M$27=EVENTOS!$C26)*(OFFSET(CÁLCULO!$AA$15:$AA$27,0,Y$13))),2),0)</f>
        <v>0</v>
      </c>
    </row>
    <row r="27" spans="1:25" x14ac:dyDescent="0.2">
      <c r="A27" s="507" t="str">
        <f t="shared" si="3"/>
        <v/>
      </c>
      <c r="B27" t="str">
        <f t="shared" ca="1" si="4"/>
        <v/>
      </c>
      <c r="C27" s="183" t="str" cm="1">
        <f t="array" aca="1" ref="C27" ca="1">IF(OR(ROW(C27)=ROW(EVENTOS.firstrow)+1,AND(OFFSET(C27,-1,0)&lt;&gt;" ",OFFSET(C27,-1,1)&lt;&gt;"")),OFFSET(C27,-1,0)+1," ")</f>
        <v xml:space="preserve"> </v>
      </c>
      <c r="D27" s="497"/>
      <c r="E27" s="628" cm="1">
        <f t="array" aca="1" ref="E27" ca="1">IF(AUTOEVENTO="Manual",ROUND(SUMPRODUCT((CÁLCULO!$M$15:$M$27=EVENTOS!$C27)*(OFFSET(CÁLCULO!$AA$15:$AA$27,0,E$13))),2),0)</f>
        <v>0</v>
      </c>
      <c r="F27" s="184">
        <f ca="1">IF(AUTOEVENTO="Manual",ROUND(SUMPRODUCT((CÁLCULO!$M$15:$M$27=EVENTOS!$C27)*(OFFSET(CÁLCULO!$AA$15,0,1):OFFSET(CÁLCULO!$AL$27,0,-1))),2),0)</f>
        <v>0</v>
      </c>
      <c r="G27" s="629" t="str">
        <f t="shared" ca="1" si="5"/>
        <v/>
      </c>
      <c r="H27" s="628" cm="1">
        <f t="array" aca="1" ref="H27" ca="1">IF(AUTOEVENTO="Manual",ROUND(SUMPRODUCT((CÁLCULO!$M$15:$M$27=EVENTOS!$C27)*(OFFSET(CÁLCULO!$AA$15:$AA$27,0,H$13))),2),0)</f>
        <v>0</v>
      </c>
      <c r="I27" s="628" cm="1">
        <f t="array" aca="1" ref="I27" ca="1">IF(AUTOEVENTO="Manual",ROUND(SUMPRODUCT((CÁLCULO!$M$15:$M$27=EVENTOS!$C27)*(OFFSET(CÁLCULO!$AA$15:$AA$27,0,I$13))),2),0)</f>
        <v>0</v>
      </c>
      <c r="J27" s="628" cm="1">
        <f t="array" aca="1" ref="J27" ca="1">IF(AUTOEVENTO="Manual",ROUND(SUMPRODUCT((CÁLCULO!$M$15:$M$27=EVENTOS!$C27)*(OFFSET(CÁLCULO!$AA$15:$AA$27,0,J$13))),2),0)</f>
        <v>0</v>
      </c>
      <c r="K27" s="628" cm="1">
        <f t="array" aca="1" ref="K27" ca="1">IF(AUTOEVENTO="Manual",ROUND(SUMPRODUCT((CÁLCULO!$M$15:$M$27=EVENTOS!$C27)*(OFFSET(CÁLCULO!$AA$15:$AA$27,0,K$13))),2),0)</f>
        <v>0</v>
      </c>
      <c r="L27" s="628" cm="1">
        <f t="array" aca="1" ref="L27" ca="1">IF(AUTOEVENTO="Manual",ROUND(SUMPRODUCT((CÁLCULO!$M$15:$M$27=EVENTOS!$C27)*(OFFSET(CÁLCULO!$AA$15:$AA$27,0,L$13))),2),0)</f>
        <v>0</v>
      </c>
      <c r="M27" s="628" cm="1">
        <f t="array" aca="1" ref="M27" ca="1">IF(AUTOEVENTO="Manual",ROUND(SUMPRODUCT((CÁLCULO!$M$15:$M$27=EVENTOS!$C27)*(OFFSET(CÁLCULO!$AA$15:$AA$27,0,M$13))),2),0)</f>
        <v>0</v>
      </c>
      <c r="N27" s="628" cm="1">
        <f t="array" aca="1" ref="N27" ca="1">IF(AUTOEVENTO="Manual",ROUND(SUMPRODUCT((CÁLCULO!$M$15:$M$27=EVENTOS!$C27)*(OFFSET(CÁLCULO!$AA$15:$AA$27,0,N$13))),2),0)</f>
        <v>0</v>
      </c>
      <c r="O27" s="628" cm="1">
        <f t="array" aca="1" ref="O27" ca="1">IF(AUTOEVENTO="Manual",ROUND(SUMPRODUCT((CÁLCULO!$M$15:$M$27=EVENTOS!$C27)*(OFFSET(CÁLCULO!$AA$15:$AA$27,0,O$13))),2),0)</f>
        <v>0</v>
      </c>
      <c r="P27" s="628" cm="1">
        <f t="array" aca="1" ref="P27" ca="1">IF(AUTOEVENTO="Manual",ROUND(SUMPRODUCT((CÁLCULO!$M$15:$M$27=EVENTOS!$C27)*(OFFSET(CÁLCULO!$AA$15:$AA$27,0,P$13))),2),0)</f>
        <v>0</v>
      </c>
      <c r="Q27" s="628" cm="1">
        <f t="array" aca="1" ref="Q27" ca="1">IF(AUTOEVENTO="Manual",ROUND(SUMPRODUCT((CÁLCULO!$M$15:$M$27=EVENTOS!$C27)*(OFFSET(CÁLCULO!$AA$15:$AA$27,0,Q$13))),2),0)</f>
        <v>0</v>
      </c>
      <c r="R27" s="628" cm="1">
        <f t="array" aca="1" ref="R27" ca="1">IF(AUTOEVENTO="Manual",ROUND(SUMPRODUCT((CÁLCULO!$M$15:$M$27=EVENTOS!$C27)*(OFFSET(CÁLCULO!$AA$15:$AA$27,0,R$13))),2),0)</f>
        <v>0</v>
      </c>
      <c r="S27" s="628" cm="1">
        <f t="array" aca="1" ref="S27" ca="1">IF(AUTOEVENTO="Manual",ROUND(SUMPRODUCT((CÁLCULO!$M$15:$M$27=EVENTOS!$C27)*(OFFSET(CÁLCULO!$AA$15:$AA$27,0,S$13))),2),0)</f>
        <v>0</v>
      </c>
      <c r="T27" s="628" cm="1">
        <f t="array" aca="1" ref="T27" ca="1">IF(AUTOEVENTO="Manual",ROUND(SUMPRODUCT((CÁLCULO!$M$15:$M$27=EVENTOS!$C27)*(OFFSET(CÁLCULO!$AA$15:$AA$27,0,T$13))),2),0)</f>
        <v>0</v>
      </c>
      <c r="U27" s="628" cm="1">
        <f t="array" aca="1" ref="U27" ca="1">IF(AUTOEVENTO="Manual",ROUND(SUMPRODUCT((CÁLCULO!$M$15:$M$27=EVENTOS!$C27)*(OFFSET(CÁLCULO!$AA$15:$AA$27,0,U$13))),2),0)</f>
        <v>0</v>
      </c>
      <c r="V27" s="628" cm="1">
        <f t="array" aca="1" ref="V27" ca="1">IF(AUTOEVENTO="Manual",ROUND(SUMPRODUCT((CÁLCULO!$M$15:$M$27=EVENTOS!$C27)*(OFFSET(CÁLCULO!$AA$15:$AA$27,0,V$13))),2),0)</f>
        <v>0</v>
      </c>
      <c r="W27" s="628" cm="1">
        <f t="array" aca="1" ref="W27" ca="1">IF(AUTOEVENTO="Manual",ROUND(SUMPRODUCT((CÁLCULO!$M$15:$M$27=EVENTOS!$C27)*(OFFSET(CÁLCULO!$AA$15:$AA$27,0,W$13))),2),0)</f>
        <v>0</v>
      </c>
      <c r="X27" s="628" cm="1">
        <f t="array" aca="1" ref="X27" ca="1">IF(AUTOEVENTO="Manual",ROUND(SUMPRODUCT((CÁLCULO!$M$15:$M$27=EVENTOS!$C27)*(OFFSET(CÁLCULO!$AA$15:$AA$27,0,X$13))),2),0)</f>
        <v>0</v>
      </c>
      <c r="Y27" s="628" cm="1">
        <f t="array" aca="1" ref="Y27" ca="1">IF(AUTOEVENTO="Manual",ROUND(SUMPRODUCT((CÁLCULO!$M$15:$M$27=EVENTOS!$C27)*(OFFSET(CÁLCULO!$AA$15:$AA$27,0,Y$13))),2),0)</f>
        <v>0</v>
      </c>
    </row>
    <row r="28" spans="1:25" x14ac:dyDescent="0.2">
      <c r="A28" s="507" t="str">
        <f t="shared" si="3"/>
        <v/>
      </c>
      <c r="B28" t="str">
        <f t="shared" ca="1" si="4"/>
        <v/>
      </c>
      <c r="C28" s="183" t="str" cm="1">
        <f t="array" aca="1" ref="C28" ca="1">IF(OR(ROW(C28)=ROW(EVENTOS.firstrow)+1,AND(OFFSET(C28,-1,0)&lt;&gt;" ",OFFSET(C28,-1,1)&lt;&gt;"")),OFFSET(C28,-1,0)+1," ")</f>
        <v xml:space="preserve"> </v>
      </c>
      <c r="D28" s="497"/>
      <c r="E28" s="628" cm="1">
        <f t="array" aca="1" ref="E28" ca="1">IF(AUTOEVENTO="Manual",ROUND(SUMPRODUCT((CÁLCULO!$M$15:$M$27=EVENTOS!$C28)*(OFFSET(CÁLCULO!$AA$15:$AA$27,0,E$13))),2),0)</f>
        <v>0</v>
      </c>
      <c r="F28" s="184">
        <f ca="1">IF(AUTOEVENTO="Manual",ROUND(SUMPRODUCT((CÁLCULO!$M$15:$M$27=EVENTOS!$C28)*(OFFSET(CÁLCULO!$AA$15,0,1):OFFSET(CÁLCULO!$AL$27,0,-1))),2),0)</f>
        <v>0</v>
      </c>
      <c r="G28" s="629" t="str">
        <f t="shared" ca="1" si="5"/>
        <v/>
      </c>
      <c r="H28" s="628" cm="1">
        <f t="array" aca="1" ref="H28" ca="1">IF(AUTOEVENTO="Manual",ROUND(SUMPRODUCT((CÁLCULO!$M$15:$M$27=EVENTOS!$C28)*(OFFSET(CÁLCULO!$AA$15:$AA$27,0,H$13))),2),0)</f>
        <v>0</v>
      </c>
      <c r="I28" s="628" cm="1">
        <f t="array" aca="1" ref="I28" ca="1">IF(AUTOEVENTO="Manual",ROUND(SUMPRODUCT((CÁLCULO!$M$15:$M$27=EVENTOS!$C28)*(OFFSET(CÁLCULO!$AA$15:$AA$27,0,I$13))),2),0)</f>
        <v>0</v>
      </c>
      <c r="J28" s="628" cm="1">
        <f t="array" aca="1" ref="J28" ca="1">IF(AUTOEVENTO="Manual",ROUND(SUMPRODUCT((CÁLCULO!$M$15:$M$27=EVENTOS!$C28)*(OFFSET(CÁLCULO!$AA$15:$AA$27,0,J$13))),2),0)</f>
        <v>0</v>
      </c>
      <c r="K28" s="628" cm="1">
        <f t="array" aca="1" ref="K28" ca="1">IF(AUTOEVENTO="Manual",ROUND(SUMPRODUCT((CÁLCULO!$M$15:$M$27=EVENTOS!$C28)*(OFFSET(CÁLCULO!$AA$15:$AA$27,0,K$13))),2),0)</f>
        <v>0</v>
      </c>
      <c r="L28" s="628" cm="1">
        <f t="array" aca="1" ref="L28" ca="1">IF(AUTOEVENTO="Manual",ROUND(SUMPRODUCT((CÁLCULO!$M$15:$M$27=EVENTOS!$C28)*(OFFSET(CÁLCULO!$AA$15:$AA$27,0,L$13))),2),0)</f>
        <v>0</v>
      </c>
      <c r="M28" s="628" cm="1">
        <f t="array" aca="1" ref="M28" ca="1">IF(AUTOEVENTO="Manual",ROUND(SUMPRODUCT((CÁLCULO!$M$15:$M$27=EVENTOS!$C28)*(OFFSET(CÁLCULO!$AA$15:$AA$27,0,M$13))),2),0)</f>
        <v>0</v>
      </c>
      <c r="N28" s="628" cm="1">
        <f t="array" aca="1" ref="N28" ca="1">IF(AUTOEVENTO="Manual",ROUND(SUMPRODUCT((CÁLCULO!$M$15:$M$27=EVENTOS!$C28)*(OFFSET(CÁLCULO!$AA$15:$AA$27,0,N$13))),2),0)</f>
        <v>0</v>
      </c>
      <c r="O28" s="628" cm="1">
        <f t="array" aca="1" ref="O28" ca="1">IF(AUTOEVENTO="Manual",ROUND(SUMPRODUCT((CÁLCULO!$M$15:$M$27=EVENTOS!$C28)*(OFFSET(CÁLCULO!$AA$15:$AA$27,0,O$13))),2),0)</f>
        <v>0</v>
      </c>
      <c r="P28" s="628" cm="1">
        <f t="array" aca="1" ref="P28" ca="1">IF(AUTOEVENTO="Manual",ROUND(SUMPRODUCT((CÁLCULO!$M$15:$M$27=EVENTOS!$C28)*(OFFSET(CÁLCULO!$AA$15:$AA$27,0,P$13))),2),0)</f>
        <v>0</v>
      </c>
      <c r="Q28" s="628" cm="1">
        <f t="array" aca="1" ref="Q28" ca="1">IF(AUTOEVENTO="Manual",ROUND(SUMPRODUCT((CÁLCULO!$M$15:$M$27=EVENTOS!$C28)*(OFFSET(CÁLCULO!$AA$15:$AA$27,0,Q$13))),2),0)</f>
        <v>0</v>
      </c>
      <c r="R28" s="628" cm="1">
        <f t="array" aca="1" ref="R28" ca="1">IF(AUTOEVENTO="Manual",ROUND(SUMPRODUCT((CÁLCULO!$M$15:$M$27=EVENTOS!$C28)*(OFFSET(CÁLCULO!$AA$15:$AA$27,0,R$13))),2),0)</f>
        <v>0</v>
      </c>
      <c r="S28" s="628" cm="1">
        <f t="array" aca="1" ref="S28" ca="1">IF(AUTOEVENTO="Manual",ROUND(SUMPRODUCT((CÁLCULO!$M$15:$M$27=EVENTOS!$C28)*(OFFSET(CÁLCULO!$AA$15:$AA$27,0,S$13))),2),0)</f>
        <v>0</v>
      </c>
      <c r="T28" s="628" cm="1">
        <f t="array" aca="1" ref="T28" ca="1">IF(AUTOEVENTO="Manual",ROUND(SUMPRODUCT((CÁLCULO!$M$15:$M$27=EVENTOS!$C28)*(OFFSET(CÁLCULO!$AA$15:$AA$27,0,T$13))),2),0)</f>
        <v>0</v>
      </c>
      <c r="U28" s="628" cm="1">
        <f t="array" aca="1" ref="U28" ca="1">IF(AUTOEVENTO="Manual",ROUND(SUMPRODUCT((CÁLCULO!$M$15:$M$27=EVENTOS!$C28)*(OFFSET(CÁLCULO!$AA$15:$AA$27,0,U$13))),2),0)</f>
        <v>0</v>
      </c>
      <c r="V28" s="628" cm="1">
        <f t="array" aca="1" ref="V28" ca="1">IF(AUTOEVENTO="Manual",ROUND(SUMPRODUCT((CÁLCULO!$M$15:$M$27=EVENTOS!$C28)*(OFFSET(CÁLCULO!$AA$15:$AA$27,0,V$13))),2),0)</f>
        <v>0</v>
      </c>
      <c r="W28" s="628" cm="1">
        <f t="array" aca="1" ref="W28" ca="1">IF(AUTOEVENTO="Manual",ROUND(SUMPRODUCT((CÁLCULO!$M$15:$M$27=EVENTOS!$C28)*(OFFSET(CÁLCULO!$AA$15:$AA$27,0,W$13))),2),0)</f>
        <v>0</v>
      </c>
      <c r="X28" s="628" cm="1">
        <f t="array" aca="1" ref="X28" ca="1">IF(AUTOEVENTO="Manual",ROUND(SUMPRODUCT((CÁLCULO!$M$15:$M$27=EVENTOS!$C28)*(OFFSET(CÁLCULO!$AA$15:$AA$27,0,X$13))),2),0)</f>
        <v>0</v>
      </c>
      <c r="Y28" s="628" cm="1">
        <f t="array" aca="1" ref="Y28" ca="1">IF(AUTOEVENTO="Manual",ROUND(SUMPRODUCT((CÁLCULO!$M$15:$M$27=EVENTOS!$C28)*(OFFSET(CÁLCULO!$AA$15:$AA$27,0,Y$13))),2),0)</f>
        <v>0</v>
      </c>
    </row>
    <row r="29" spans="1:25" x14ac:dyDescent="0.2">
      <c r="A29" s="507" t="str">
        <f t="shared" si="3"/>
        <v/>
      </c>
      <c r="B29" t="str">
        <f t="shared" ca="1" si="4"/>
        <v/>
      </c>
      <c r="C29" s="183" t="str" cm="1">
        <f t="array" aca="1" ref="C29" ca="1">IF(OR(ROW(C29)=ROW(EVENTOS.firstrow)+1,AND(OFFSET(C29,-1,0)&lt;&gt;" ",OFFSET(C29,-1,1)&lt;&gt;"")),OFFSET(C29,-1,0)+1," ")</f>
        <v xml:space="preserve"> </v>
      </c>
      <c r="D29" s="497"/>
      <c r="E29" s="628" cm="1">
        <f t="array" aca="1" ref="E29" ca="1">IF(AUTOEVENTO="Manual",ROUND(SUMPRODUCT((CÁLCULO!$M$15:$M$27=EVENTOS!$C29)*(OFFSET(CÁLCULO!$AA$15:$AA$27,0,E$13))),2),0)</f>
        <v>0</v>
      </c>
      <c r="F29" s="184">
        <f ca="1">IF(AUTOEVENTO="Manual",ROUND(SUMPRODUCT((CÁLCULO!$M$15:$M$27=EVENTOS!$C29)*(OFFSET(CÁLCULO!$AA$15,0,1):OFFSET(CÁLCULO!$AL$27,0,-1))),2),0)</f>
        <v>0</v>
      </c>
      <c r="G29" s="629" t="str">
        <f t="shared" ca="1" si="5"/>
        <v/>
      </c>
      <c r="H29" s="628" cm="1">
        <f t="array" aca="1" ref="H29" ca="1">IF(AUTOEVENTO="Manual",ROUND(SUMPRODUCT((CÁLCULO!$M$15:$M$27=EVENTOS!$C29)*(OFFSET(CÁLCULO!$AA$15:$AA$27,0,H$13))),2),0)</f>
        <v>0</v>
      </c>
      <c r="I29" s="628" cm="1">
        <f t="array" aca="1" ref="I29" ca="1">IF(AUTOEVENTO="Manual",ROUND(SUMPRODUCT((CÁLCULO!$M$15:$M$27=EVENTOS!$C29)*(OFFSET(CÁLCULO!$AA$15:$AA$27,0,I$13))),2),0)</f>
        <v>0</v>
      </c>
      <c r="J29" s="628" cm="1">
        <f t="array" aca="1" ref="J29" ca="1">IF(AUTOEVENTO="Manual",ROUND(SUMPRODUCT((CÁLCULO!$M$15:$M$27=EVENTOS!$C29)*(OFFSET(CÁLCULO!$AA$15:$AA$27,0,J$13))),2),0)</f>
        <v>0</v>
      </c>
      <c r="K29" s="628" cm="1">
        <f t="array" aca="1" ref="K29" ca="1">IF(AUTOEVENTO="Manual",ROUND(SUMPRODUCT((CÁLCULO!$M$15:$M$27=EVENTOS!$C29)*(OFFSET(CÁLCULO!$AA$15:$AA$27,0,K$13))),2),0)</f>
        <v>0</v>
      </c>
      <c r="L29" s="628" cm="1">
        <f t="array" aca="1" ref="L29" ca="1">IF(AUTOEVENTO="Manual",ROUND(SUMPRODUCT((CÁLCULO!$M$15:$M$27=EVENTOS!$C29)*(OFFSET(CÁLCULO!$AA$15:$AA$27,0,L$13))),2),0)</f>
        <v>0</v>
      </c>
      <c r="M29" s="628" cm="1">
        <f t="array" aca="1" ref="M29" ca="1">IF(AUTOEVENTO="Manual",ROUND(SUMPRODUCT((CÁLCULO!$M$15:$M$27=EVENTOS!$C29)*(OFFSET(CÁLCULO!$AA$15:$AA$27,0,M$13))),2),0)</f>
        <v>0</v>
      </c>
      <c r="N29" s="628" cm="1">
        <f t="array" aca="1" ref="N29" ca="1">IF(AUTOEVENTO="Manual",ROUND(SUMPRODUCT((CÁLCULO!$M$15:$M$27=EVENTOS!$C29)*(OFFSET(CÁLCULO!$AA$15:$AA$27,0,N$13))),2),0)</f>
        <v>0</v>
      </c>
      <c r="O29" s="628" cm="1">
        <f t="array" aca="1" ref="O29" ca="1">IF(AUTOEVENTO="Manual",ROUND(SUMPRODUCT((CÁLCULO!$M$15:$M$27=EVENTOS!$C29)*(OFFSET(CÁLCULO!$AA$15:$AA$27,0,O$13))),2),0)</f>
        <v>0</v>
      </c>
      <c r="P29" s="628" cm="1">
        <f t="array" aca="1" ref="P29" ca="1">IF(AUTOEVENTO="Manual",ROUND(SUMPRODUCT((CÁLCULO!$M$15:$M$27=EVENTOS!$C29)*(OFFSET(CÁLCULO!$AA$15:$AA$27,0,P$13))),2),0)</f>
        <v>0</v>
      </c>
      <c r="Q29" s="628" cm="1">
        <f t="array" aca="1" ref="Q29" ca="1">IF(AUTOEVENTO="Manual",ROUND(SUMPRODUCT((CÁLCULO!$M$15:$M$27=EVENTOS!$C29)*(OFFSET(CÁLCULO!$AA$15:$AA$27,0,Q$13))),2),0)</f>
        <v>0</v>
      </c>
      <c r="R29" s="628" cm="1">
        <f t="array" aca="1" ref="R29" ca="1">IF(AUTOEVENTO="Manual",ROUND(SUMPRODUCT((CÁLCULO!$M$15:$M$27=EVENTOS!$C29)*(OFFSET(CÁLCULO!$AA$15:$AA$27,0,R$13))),2),0)</f>
        <v>0</v>
      </c>
      <c r="S29" s="628" cm="1">
        <f t="array" aca="1" ref="S29" ca="1">IF(AUTOEVENTO="Manual",ROUND(SUMPRODUCT((CÁLCULO!$M$15:$M$27=EVENTOS!$C29)*(OFFSET(CÁLCULO!$AA$15:$AA$27,0,S$13))),2),0)</f>
        <v>0</v>
      </c>
      <c r="T29" s="628" cm="1">
        <f t="array" aca="1" ref="T29" ca="1">IF(AUTOEVENTO="Manual",ROUND(SUMPRODUCT((CÁLCULO!$M$15:$M$27=EVENTOS!$C29)*(OFFSET(CÁLCULO!$AA$15:$AA$27,0,T$13))),2),0)</f>
        <v>0</v>
      </c>
      <c r="U29" s="628" cm="1">
        <f t="array" aca="1" ref="U29" ca="1">IF(AUTOEVENTO="Manual",ROUND(SUMPRODUCT((CÁLCULO!$M$15:$M$27=EVENTOS!$C29)*(OFFSET(CÁLCULO!$AA$15:$AA$27,0,U$13))),2),0)</f>
        <v>0</v>
      </c>
      <c r="V29" s="628" cm="1">
        <f t="array" aca="1" ref="V29" ca="1">IF(AUTOEVENTO="Manual",ROUND(SUMPRODUCT((CÁLCULO!$M$15:$M$27=EVENTOS!$C29)*(OFFSET(CÁLCULO!$AA$15:$AA$27,0,V$13))),2),0)</f>
        <v>0</v>
      </c>
      <c r="W29" s="628" cm="1">
        <f t="array" aca="1" ref="W29" ca="1">IF(AUTOEVENTO="Manual",ROUND(SUMPRODUCT((CÁLCULO!$M$15:$M$27=EVENTOS!$C29)*(OFFSET(CÁLCULO!$AA$15:$AA$27,0,W$13))),2),0)</f>
        <v>0</v>
      </c>
      <c r="X29" s="628" cm="1">
        <f t="array" aca="1" ref="X29" ca="1">IF(AUTOEVENTO="Manual",ROUND(SUMPRODUCT((CÁLCULO!$M$15:$M$27=EVENTOS!$C29)*(OFFSET(CÁLCULO!$AA$15:$AA$27,0,X$13))),2),0)</f>
        <v>0</v>
      </c>
      <c r="Y29" s="628" cm="1">
        <f t="array" aca="1" ref="Y29" ca="1">IF(AUTOEVENTO="Manual",ROUND(SUMPRODUCT((CÁLCULO!$M$15:$M$27=EVENTOS!$C29)*(OFFSET(CÁLCULO!$AA$15:$AA$27,0,Y$13))),2),0)</f>
        <v>0</v>
      </c>
    </row>
    <row r="30" spans="1:25" x14ac:dyDescent="0.2">
      <c r="A30" s="507" t="str">
        <f t="shared" si="3"/>
        <v/>
      </c>
      <c r="B30" t="str">
        <f t="shared" ca="1" si="4"/>
        <v/>
      </c>
      <c r="C30" s="183" t="str" cm="1">
        <f t="array" aca="1" ref="C30" ca="1">IF(OR(ROW(C30)=ROW(EVENTOS.firstrow)+1,AND(OFFSET(C30,-1,0)&lt;&gt;" ",OFFSET(C30,-1,1)&lt;&gt;"")),OFFSET(C30,-1,0)+1," ")</f>
        <v xml:space="preserve"> </v>
      </c>
      <c r="D30" s="497"/>
      <c r="E30" s="628" cm="1">
        <f t="array" aca="1" ref="E30" ca="1">IF(AUTOEVENTO="Manual",ROUND(SUMPRODUCT((CÁLCULO!$M$15:$M$27=EVENTOS!$C30)*(OFFSET(CÁLCULO!$AA$15:$AA$27,0,E$13))),2),0)</f>
        <v>0</v>
      </c>
      <c r="F30" s="184">
        <f ca="1">IF(AUTOEVENTO="Manual",ROUND(SUMPRODUCT((CÁLCULO!$M$15:$M$27=EVENTOS!$C30)*(OFFSET(CÁLCULO!$AA$15,0,1):OFFSET(CÁLCULO!$AL$27,0,-1))),2),0)</f>
        <v>0</v>
      </c>
      <c r="G30" s="629" t="str">
        <f t="shared" ca="1" si="5"/>
        <v/>
      </c>
      <c r="H30" s="628" cm="1">
        <f t="array" aca="1" ref="H30" ca="1">IF(AUTOEVENTO="Manual",ROUND(SUMPRODUCT((CÁLCULO!$M$15:$M$27=EVENTOS!$C30)*(OFFSET(CÁLCULO!$AA$15:$AA$27,0,H$13))),2),0)</f>
        <v>0</v>
      </c>
      <c r="I30" s="628" cm="1">
        <f t="array" aca="1" ref="I30" ca="1">IF(AUTOEVENTO="Manual",ROUND(SUMPRODUCT((CÁLCULO!$M$15:$M$27=EVENTOS!$C30)*(OFFSET(CÁLCULO!$AA$15:$AA$27,0,I$13))),2),0)</f>
        <v>0</v>
      </c>
      <c r="J30" s="628" cm="1">
        <f t="array" aca="1" ref="J30" ca="1">IF(AUTOEVENTO="Manual",ROUND(SUMPRODUCT((CÁLCULO!$M$15:$M$27=EVENTOS!$C30)*(OFFSET(CÁLCULO!$AA$15:$AA$27,0,J$13))),2),0)</f>
        <v>0</v>
      </c>
      <c r="K30" s="628" cm="1">
        <f t="array" aca="1" ref="K30" ca="1">IF(AUTOEVENTO="Manual",ROUND(SUMPRODUCT((CÁLCULO!$M$15:$M$27=EVENTOS!$C30)*(OFFSET(CÁLCULO!$AA$15:$AA$27,0,K$13))),2),0)</f>
        <v>0</v>
      </c>
      <c r="L30" s="628" cm="1">
        <f t="array" aca="1" ref="L30" ca="1">IF(AUTOEVENTO="Manual",ROUND(SUMPRODUCT((CÁLCULO!$M$15:$M$27=EVENTOS!$C30)*(OFFSET(CÁLCULO!$AA$15:$AA$27,0,L$13))),2),0)</f>
        <v>0</v>
      </c>
      <c r="M30" s="628" cm="1">
        <f t="array" aca="1" ref="M30" ca="1">IF(AUTOEVENTO="Manual",ROUND(SUMPRODUCT((CÁLCULO!$M$15:$M$27=EVENTOS!$C30)*(OFFSET(CÁLCULO!$AA$15:$AA$27,0,M$13))),2),0)</f>
        <v>0</v>
      </c>
      <c r="N30" s="628" cm="1">
        <f t="array" aca="1" ref="N30" ca="1">IF(AUTOEVENTO="Manual",ROUND(SUMPRODUCT((CÁLCULO!$M$15:$M$27=EVENTOS!$C30)*(OFFSET(CÁLCULO!$AA$15:$AA$27,0,N$13))),2),0)</f>
        <v>0</v>
      </c>
      <c r="O30" s="628" cm="1">
        <f t="array" aca="1" ref="O30" ca="1">IF(AUTOEVENTO="Manual",ROUND(SUMPRODUCT((CÁLCULO!$M$15:$M$27=EVENTOS!$C30)*(OFFSET(CÁLCULO!$AA$15:$AA$27,0,O$13))),2),0)</f>
        <v>0</v>
      </c>
      <c r="P30" s="628" cm="1">
        <f t="array" aca="1" ref="P30" ca="1">IF(AUTOEVENTO="Manual",ROUND(SUMPRODUCT((CÁLCULO!$M$15:$M$27=EVENTOS!$C30)*(OFFSET(CÁLCULO!$AA$15:$AA$27,0,P$13))),2),0)</f>
        <v>0</v>
      </c>
      <c r="Q30" s="628" cm="1">
        <f t="array" aca="1" ref="Q30" ca="1">IF(AUTOEVENTO="Manual",ROUND(SUMPRODUCT((CÁLCULO!$M$15:$M$27=EVENTOS!$C30)*(OFFSET(CÁLCULO!$AA$15:$AA$27,0,Q$13))),2),0)</f>
        <v>0</v>
      </c>
      <c r="R30" s="628" cm="1">
        <f t="array" aca="1" ref="R30" ca="1">IF(AUTOEVENTO="Manual",ROUND(SUMPRODUCT((CÁLCULO!$M$15:$M$27=EVENTOS!$C30)*(OFFSET(CÁLCULO!$AA$15:$AA$27,0,R$13))),2),0)</f>
        <v>0</v>
      </c>
      <c r="S30" s="628" cm="1">
        <f t="array" aca="1" ref="S30" ca="1">IF(AUTOEVENTO="Manual",ROUND(SUMPRODUCT((CÁLCULO!$M$15:$M$27=EVENTOS!$C30)*(OFFSET(CÁLCULO!$AA$15:$AA$27,0,S$13))),2),0)</f>
        <v>0</v>
      </c>
      <c r="T30" s="628" cm="1">
        <f t="array" aca="1" ref="T30" ca="1">IF(AUTOEVENTO="Manual",ROUND(SUMPRODUCT((CÁLCULO!$M$15:$M$27=EVENTOS!$C30)*(OFFSET(CÁLCULO!$AA$15:$AA$27,0,T$13))),2),0)</f>
        <v>0</v>
      </c>
      <c r="U30" s="628" cm="1">
        <f t="array" aca="1" ref="U30" ca="1">IF(AUTOEVENTO="Manual",ROUND(SUMPRODUCT((CÁLCULO!$M$15:$M$27=EVENTOS!$C30)*(OFFSET(CÁLCULO!$AA$15:$AA$27,0,U$13))),2),0)</f>
        <v>0</v>
      </c>
      <c r="V30" s="628" cm="1">
        <f t="array" aca="1" ref="V30" ca="1">IF(AUTOEVENTO="Manual",ROUND(SUMPRODUCT((CÁLCULO!$M$15:$M$27=EVENTOS!$C30)*(OFFSET(CÁLCULO!$AA$15:$AA$27,0,V$13))),2),0)</f>
        <v>0</v>
      </c>
      <c r="W30" s="628" cm="1">
        <f t="array" aca="1" ref="W30" ca="1">IF(AUTOEVENTO="Manual",ROUND(SUMPRODUCT((CÁLCULO!$M$15:$M$27=EVENTOS!$C30)*(OFFSET(CÁLCULO!$AA$15:$AA$27,0,W$13))),2),0)</f>
        <v>0</v>
      </c>
      <c r="X30" s="628" cm="1">
        <f t="array" aca="1" ref="X30" ca="1">IF(AUTOEVENTO="Manual",ROUND(SUMPRODUCT((CÁLCULO!$M$15:$M$27=EVENTOS!$C30)*(OFFSET(CÁLCULO!$AA$15:$AA$27,0,X$13))),2),0)</f>
        <v>0</v>
      </c>
      <c r="Y30" s="628" cm="1">
        <f t="array" aca="1" ref="Y30" ca="1">IF(AUTOEVENTO="Manual",ROUND(SUMPRODUCT((CÁLCULO!$M$15:$M$27=EVENTOS!$C30)*(OFFSET(CÁLCULO!$AA$15:$AA$27,0,Y$13))),2),0)</f>
        <v>0</v>
      </c>
    </row>
    <row r="31" spans="1:25" x14ac:dyDescent="0.2">
      <c r="A31" s="507" t="str">
        <f t="shared" si="3"/>
        <v/>
      </c>
      <c r="B31" t="str">
        <f t="shared" ca="1" si="4"/>
        <v/>
      </c>
      <c r="C31" s="183" t="str" cm="1">
        <f t="array" aca="1" ref="C31" ca="1">IF(OR(ROW(C31)=ROW(EVENTOS.firstrow)+1,AND(OFFSET(C31,-1,0)&lt;&gt;" ",OFFSET(C31,-1,1)&lt;&gt;"")),OFFSET(C31,-1,0)+1," ")</f>
        <v xml:space="preserve"> </v>
      </c>
      <c r="D31" s="497"/>
      <c r="E31" s="628" cm="1">
        <f t="array" aca="1" ref="E31" ca="1">IF(AUTOEVENTO="Manual",ROUND(SUMPRODUCT((CÁLCULO!$M$15:$M$27=EVENTOS!$C31)*(OFFSET(CÁLCULO!$AA$15:$AA$27,0,E$13))),2),0)</f>
        <v>0</v>
      </c>
      <c r="F31" s="184">
        <f ca="1">IF(AUTOEVENTO="Manual",ROUND(SUMPRODUCT((CÁLCULO!$M$15:$M$27=EVENTOS!$C31)*(OFFSET(CÁLCULO!$AA$15,0,1):OFFSET(CÁLCULO!$AL$27,0,-1))),2),0)</f>
        <v>0</v>
      </c>
      <c r="G31" s="629" t="str">
        <f t="shared" ca="1" si="5"/>
        <v/>
      </c>
      <c r="H31" s="628" cm="1">
        <f t="array" aca="1" ref="H31" ca="1">IF(AUTOEVENTO="Manual",ROUND(SUMPRODUCT((CÁLCULO!$M$15:$M$27=EVENTOS!$C31)*(OFFSET(CÁLCULO!$AA$15:$AA$27,0,H$13))),2),0)</f>
        <v>0</v>
      </c>
      <c r="I31" s="628" cm="1">
        <f t="array" aca="1" ref="I31" ca="1">IF(AUTOEVENTO="Manual",ROUND(SUMPRODUCT((CÁLCULO!$M$15:$M$27=EVENTOS!$C31)*(OFFSET(CÁLCULO!$AA$15:$AA$27,0,I$13))),2),0)</f>
        <v>0</v>
      </c>
      <c r="J31" s="628" cm="1">
        <f t="array" aca="1" ref="J31" ca="1">IF(AUTOEVENTO="Manual",ROUND(SUMPRODUCT((CÁLCULO!$M$15:$M$27=EVENTOS!$C31)*(OFFSET(CÁLCULO!$AA$15:$AA$27,0,J$13))),2),0)</f>
        <v>0</v>
      </c>
      <c r="K31" s="628" cm="1">
        <f t="array" aca="1" ref="K31" ca="1">IF(AUTOEVENTO="Manual",ROUND(SUMPRODUCT((CÁLCULO!$M$15:$M$27=EVENTOS!$C31)*(OFFSET(CÁLCULO!$AA$15:$AA$27,0,K$13))),2),0)</f>
        <v>0</v>
      </c>
      <c r="L31" s="628" cm="1">
        <f t="array" aca="1" ref="L31" ca="1">IF(AUTOEVENTO="Manual",ROUND(SUMPRODUCT((CÁLCULO!$M$15:$M$27=EVENTOS!$C31)*(OFFSET(CÁLCULO!$AA$15:$AA$27,0,L$13))),2),0)</f>
        <v>0</v>
      </c>
      <c r="M31" s="628" cm="1">
        <f t="array" aca="1" ref="M31" ca="1">IF(AUTOEVENTO="Manual",ROUND(SUMPRODUCT((CÁLCULO!$M$15:$M$27=EVENTOS!$C31)*(OFFSET(CÁLCULO!$AA$15:$AA$27,0,M$13))),2),0)</f>
        <v>0</v>
      </c>
      <c r="N31" s="628" cm="1">
        <f t="array" aca="1" ref="N31" ca="1">IF(AUTOEVENTO="Manual",ROUND(SUMPRODUCT((CÁLCULO!$M$15:$M$27=EVENTOS!$C31)*(OFFSET(CÁLCULO!$AA$15:$AA$27,0,N$13))),2),0)</f>
        <v>0</v>
      </c>
      <c r="O31" s="628" cm="1">
        <f t="array" aca="1" ref="O31" ca="1">IF(AUTOEVENTO="Manual",ROUND(SUMPRODUCT((CÁLCULO!$M$15:$M$27=EVENTOS!$C31)*(OFFSET(CÁLCULO!$AA$15:$AA$27,0,O$13))),2),0)</f>
        <v>0</v>
      </c>
      <c r="P31" s="628" cm="1">
        <f t="array" aca="1" ref="P31" ca="1">IF(AUTOEVENTO="Manual",ROUND(SUMPRODUCT((CÁLCULO!$M$15:$M$27=EVENTOS!$C31)*(OFFSET(CÁLCULO!$AA$15:$AA$27,0,P$13))),2),0)</f>
        <v>0</v>
      </c>
      <c r="Q31" s="628" cm="1">
        <f t="array" aca="1" ref="Q31" ca="1">IF(AUTOEVENTO="Manual",ROUND(SUMPRODUCT((CÁLCULO!$M$15:$M$27=EVENTOS!$C31)*(OFFSET(CÁLCULO!$AA$15:$AA$27,0,Q$13))),2),0)</f>
        <v>0</v>
      </c>
      <c r="R31" s="628" cm="1">
        <f t="array" aca="1" ref="R31" ca="1">IF(AUTOEVENTO="Manual",ROUND(SUMPRODUCT((CÁLCULO!$M$15:$M$27=EVENTOS!$C31)*(OFFSET(CÁLCULO!$AA$15:$AA$27,0,R$13))),2),0)</f>
        <v>0</v>
      </c>
      <c r="S31" s="628" cm="1">
        <f t="array" aca="1" ref="S31" ca="1">IF(AUTOEVENTO="Manual",ROUND(SUMPRODUCT((CÁLCULO!$M$15:$M$27=EVENTOS!$C31)*(OFFSET(CÁLCULO!$AA$15:$AA$27,0,S$13))),2),0)</f>
        <v>0</v>
      </c>
      <c r="T31" s="628" cm="1">
        <f t="array" aca="1" ref="T31" ca="1">IF(AUTOEVENTO="Manual",ROUND(SUMPRODUCT((CÁLCULO!$M$15:$M$27=EVENTOS!$C31)*(OFFSET(CÁLCULO!$AA$15:$AA$27,0,T$13))),2),0)</f>
        <v>0</v>
      </c>
      <c r="U31" s="628" cm="1">
        <f t="array" aca="1" ref="U31" ca="1">IF(AUTOEVENTO="Manual",ROUND(SUMPRODUCT((CÁLCULO!$M$15:$M$27=EVENTOS!$C31)*(OFFSET(CÁLCULO!$AA$15:$AA$27,0,U$13))),2),0)</f>
        <v>0</v>
      </c>
      <c r="V31" s="628" cm="1">
        <f t="array" aca="1" ref="V31" ca="1">IF(AUTOEVENTO="Manual",ROUND(SUMPRODUCT((CÁLCULO!$M$15:$M$27=EVENTOS!$C31)*(OFFSET(CÁLCULO!$AA$15:$AA$27,0,V$13))),2),0)</f>
        <v>0</v>
      </c>
      <c r="W31" s="628" cm="1">
        <f t="array" aca="1" ref="W31" ca="1">IF(AUTOEVENTO="Manual",ROUND(SUMPRODUCT((CÁLCULO!$M$15:$M$27=EVENTOS!$C31)*(OFFSET(CÁLCULO!$AA$15:$AA$27,0,W$13))),2),0)</f>
        <v>0</v>
      </c>
      <c r="X31" s="628" cm="1">
        <f t="array" aca="1" ref="X31" ca="1">IF(AUTOEVENTO="Manual",ROUND(SUMPRODUCT((CÁLCULO!$M$15:$M$27=EVENTOS!$C31)*(OFFSET(CÁLCULO!$AA$15:$AA$27,0,X$13))),2),0)</f>
        <v>0</v>
      </c>
      <c r="Y31" s="628" cm="1">
        <f t="array" aca="1" ref="Y31" ca="1">IF(AUTOEVENTO="Manual",ROUND(SUMPRODUCT((CÁLCULO!$M$15:$M$27=EVENTOS!$C31)*(OFFSET(CÁLCULO!$AA$15:$AA$27,0,Y$13))),2),0)</f>
        <v>0</v>
      </c>
    </row>
    <row r="32" spans="1:25" x14ac:dyDescent="0.2">
      <c r="A32" s="507" t="str">
        <f t="shared" si="3"/>
        <v/>
      </c>
      <c r="B32" t="str">
        <f t="shared" ca="1" si="4"/>
        <v/>
      </c>
      <c r="C32" s="183" t="str" cm="1">
        <f t="array" aca="1" ref="C32" ca="1">IF(OR(ROW(C32)=ROW(EVENTOS.firstrow)+1,AND(OFFSET(C32,-1,0)&lt;&gt;" ",OFFSET(C32,-1,1)&lt;&gt;"")),OFFSET(C32,-1,0)+1," ")</f>
        <v xml:space="preserve"> </v>
      </c>
      <c r="D32" s="497"/>
      <c r="E32" s="628" cm="1">
        <f t="array" aca="1" ref="E32" ca="1">IF(AUTOEVENTO="Manual",ROUND(SUMPRODUCT((CÁLCULO!$M$15:$M$27=EVENTOS!$C32)*(OFFSET(CÁLCULO!$AA$15:$AA$27,0,E$13))),2),0)</f>
        <v>0</v>
      </c>
      <c r="F32" s="184">
        <f ca="1">IF(AUTOEVENTO="Manual",ROUND(SUMPRODUCT((CÁLCULO!$M$15:$M$27=EVENTOS!$C32)*(OFFSET(CÁLCULO!$AA$15,0,1):OFFSET(CÁLCULO!$AL$27,0,-1))),2),0)</f>
        <v>0</v>
      </c>
      <c r="G32" s="629" t="str">
        <f t="shared" ca="1" si="5"/>
        <v/>
      </c>
      <c r="H32" s="628" cm="1">
        <f t="array" aca="1" ref="H32" ca="1">IF(AUTOEVENTO="Manual",ROUND(SUMPRODUCT((CÁLCULO!$M$15:$M$27=EVENTOS!$C32)*(OFFSET(CÁLCULO!$AA$15:$AA$27,0,H$13))),2),0)</f>
        <v>0</v>
      </c>
      <c r="I32" s="628" cm="1">
        <f t="array" aca="1" ref="I32" ca="1">IF(AUTOEVENTO="Manual",ROUND(SUMPRODUCT((CÁLCULO!$M$15:$M$27=EVENTOS!$C32)*(OFFSET(CÁLCULO!$AA$15:$AA$27,0,I$13))),2),0)</f>
        <v>0</v>
      </c>
      <c r="J32" s="628" cm="1">
        <f t="array" aca="1" ref="J32" ca="1">IF(AUTOEVENTO="Manual",ROUND(SUMPRODUCT((CÁLCULO!$M$15:$M$27=EVENTOS!$C32)*(OFFSET(CÁLCULO!$AA$15:$AA$27,0,J$13))),2),0)</f>
        <v>0</v>
      </c>
      <c r="K32" s="628" cm="1">
        <f t="array" aca="1" ref="K32" ca="1">IF(AUTOEVENTO="Manual",ROUND(SUMPRODUCT((CÁLCULO!$M$15:$M$27=EVENTOS!$C32)*(OFFSET(CÁLCULO!$AA$15:$AA$27,0,K$13))),2),0)</f>
        <v>0</v>
      </c>
      <c r="L32" s="628" cm="1">
        <f t="array" aca="1" ref="L32" ca="1">IF(AUTOEVENTO="Manual",ROUND(SUMPRODUCT((CÁLCULO!$M$15:$M$27=EVENTOS!$C32)*(OFFSET(CÁLCULO!$AA$15:$AA$27,0,L$13))),2),0)</f>
        <v>0</v>
      </c>
      <c r="M32" s="628" cm="1">
        <f t="array" aca="1" ref="M32" ca="1">IF(AUTOEVENTO="Manual",ROUND(SUMPRODUCT((CÁLCULO!$M$15:$M$27=EVENTOS!$C32)*(OFFSET(CÁLCULO!$AA$15:$AA$27,0,M$13))),2),0)</f>
        <v>0</v>
      </c>
      <c r="N32" s="628" cm="1">
        <f t="array" aca="1" ref="N32" ca="1">IF(AUTOEVENTO="Manual",ROUND(SUMPRODUCT((CÁLCULO!$M$15:$M$27=EVENTOS!$C32)*(OFFSET(CÁLCULO!$AA$15:$AA$27,0,N$13))),2),0)</f>
        <v>0</v>
      </c>
      <c r="O32" s="628" cm="1">
        <f t="array" aca="1" ref="O32" ca="1">IF(AUTOEVENTO="Manual",ROUND(SUMPRODUCT((CÁLCULO!$M$15:$M$27=EVENTOS!$C32)*(OFFSET(CÁLCULO!$AA$15:$AA$27,0,O$13))),2),0)</f>
        <v>0</v>
      </c>
      <c r="P32" s="628" cm="1">
        <f t="array" aca="1" ref="P32" ca="1">IF(AUTOEVENTO="Manual",ROUND(SUMPRODUCT((CÁLCULO!$M$15:$M$27=EVENTOS!$C32)*(OFFSET(CÁLCULO!$AA$15:$AA$27,0,P$13))),2),0)</f>
        <v>0</v>
      </c>
      <c r="Q32" s="628" cm="1">
        <f t="array" aca="1" ref="Q32" ca="1">IF(AUTOEVENTO="Manual",ROUND(SUMPRODUCT((CÁLCULO!$M$15:$M$27=EVENTOS!$C32)*(OFFSET(CÁLCULO!$AA$15:$AA$27,0,Q$13))),2),0)</f>
        <v>0</v>
      </c>
      <c r="R32" s="628" cm="1">
        <f t="array" aca="1" ref="R32" ca="1">IF(AUTOEVENTO="Manual",ROUND(SUMPRODUCT((CÁLCULO!$M$15:$M$27=EVENTOS!$C32)*(OFFSET(CÁLCULO!$AA$15:$AA$27,0,R$13))),2),0)</f>
        <v>0</v>
      </c>
      <c r="S32" s="628" cm="1">
        <f t="array" aca="1" ref="S32" ca="1">IF(AUTOEVENTO="Manual",ROUND(SUMPRODUCT((CÁLCULO!$M$15:$M$27=EVENTOS!$C32)*(OFFSET(CÁLCULO!$AA$15:$AA$27,0,S$13))),2),0)</f>
        <v>0</v>
      </c>
      <c r="T32" s="628" cm="1">
        <f t="array" aca="1" ref="T32" ca="1">IF(AUTOEVENTO="Manual",ROUND(SUMPRODUCT((CÁLCULO!$M$15:$M$27=EVENTOS!$C32)*(OFFSET(CÁLCULO!$AA$15:$AA$27,0,T$13))),2),0)</f>
        <v>0</v>
      </c>
      <c r="U32" s="628" cm="1">
        <f t="array" aca="1" ref="U32" ca="1">IF(AUTOEVENTO="Manual",ROUND(SUMPRODUCT((CÁLCULO!$M$15:$M$27=EVENTOS!$C32)*(OFFSET(CÁLCULO!$AA$15:$AA$27,0,U$13))),2),0)</f>
        <v>0</v>
      </c>
      <c r="V32" s="628" cm="1">
        <f t="array" aca="1" ref="V32" ca="1">IF(AUTOEVENTO="Manual",ROUND(SUMPRODUCT((CÁLCULO!$M$15:$M$27=EVENTOS!$C32)*(OFFSET(CÁLCULO!$AA$15:$AA$27,0,V$13))),2),0)</f>
        <v>0</v>
      </c>
      <c r="W32" s="628" cm="1">
        <f t="array" aca="1" ref="W32" ca="1">IF(AUTOEVENTO="Manual",ROUND(SUMPRODUCT((CÁLCULO!$M$15:$M$27=EVENTOS!$C32)*(OFFSET(CÁLCULO!$AA$15:$AA$27,0,W$13))),2),0)</f>
        <v>0</v>
      </c>
      <c r="X32" s="628" cm="1">
        <f t="array" aca="1" ref="X32" ca="1">IF(AUTOEVENTO="Manual",ROUND(SUMPRODUCT((CÁLCULO!$M$15:$M$27=EVENTOS!$C32)*(OFFSET(CÁLCULO!$AA$15:$AA$27,0,X$13))),2),0)</f>
        <v>0</v>
      </c>
      <c r="Y32" s="628" cm="1">
        <f t="array" aca="1" ref="Y32" ca="1">IF(AUTOEVENTO="Manual",ROUND(SUMPRODUCT((CÁLCULO!$M$15:$M$27=EVENTOS!$C32)*(OFFSET(CÁLCULO!$AA$15:$AA$27,0,Y$13))),2),0)</f>
        <v>0</v>
      </c>
    </row>
    <row r="33" spans="1:25" x14ac:dyDescent="0.2">
      <c r="A33" s="507" t="str">
        <f t="shared" si="3"/>
        <v/>
      </c>
      <c r="B33" t="str">
        <f t="shared" ca="1" si="4"/>
        <v/>
      </c>
      <c r="C33" s="183" t="str" cm="1">
        <f t="array" aca="1" ref="C33" ca="1">IF(OR(ROW(C33)=ROW(EVENTOS.firstrow)+1,AND(OFFSET(C33,-1,0)&lt;&gt;" ",OFFSET(C33,-1,1)&lt;&gt;"")),OFFSET(C33,-1,0)+1," ")</f>
        <v xml:space="preserve"> </v>
      </c>
      <c r="D33" s="497"/>
      <c r="E33" s="628" cm="1">
        <f t="array" aca="1" ref="E33" ca="1">IF(AUTOEVENTO="Manual",ROUND(SUMPRODUCT((CÁLCULO!$M$15:$M$27=EVENTOS!$C33)*(OFFSET(CÁLCULO!$AA$15:$AA$27,0,E$13))),2),0)</f>
        <v>0</v>
      </c>
      <c r="F33" s="184">
        <f ca="1">IF(AUTOEVENTO="Manual",ROUND(SUMPRODUCT((CÁLCULO!$M$15:$M$27=EVENTOS!$C33)*(OFFSET(CÁLCULO!$AA$15,0,1):OFFSET(CÁLCULO!$AL$27,0,-1))),2),0)</f>
        <v>0</v>
      </c>
      <c r="G33" s="629" t="str">
        <f t="shared" ca="1" si="5"/>
        <v/>
      </c>
      <c r="H33" s="628" cm="1">
        <f t="array" aca="1" ref="H33" ca="1">IF(AUTOEVENTO="Manual",ROUND(SUMPRODUCT((CÁLCULO!$M$15:$M$27=EVENTOS!$C33)*(OFFSET(CÁLCULO!$AA$15:$AA$27,0,H$13))),2),0)</f>
        <v>0</v>
      </c>
      <c r="I33" s="628" cm="1">
        <f t="array" aca="1" ref="I33" ca="1">IF(AUTOEVENTO="Manual",ROUND(SUMPRODUCT((CÁLCULO!$M$15:$M$27=EVENTOS!$C33)*(OFFSET(CÁLCULO!$AA$15:$AA$27,0,I$13))),2),0)</f>
        <v>0</v>
      </c>
      <c r="J33" s="628" cm="1">
        <f t="array" aca="1" ref="J33" ca="1">IF(AUTOEVENTO="Manual",ROUND(SUMPRODUCT((CÁLCULO!$M$15:$M$27=EVENTOS!$C33)*(OFFSET(CÁLCULO!$AA$15:$AA$27,0,J$13))),2),0)</f>
        <v>0</v>
      </c>
      <c r="K33" s="628" cm="1">
        <f t="array" aca="1" ref="K33" ca="1">IF(AUTOEVENTO="Manual",ROUND(SUMPRODUCT((CÁLCULO!$M$15:$M$27=EVENTOS!$C33)*(OFFSET(CÁLCULO!$AA$15:$AA$27,0,K$13))),2),0)</f>
        <v>0</v>
      </c>
      <c r="L33" s="628" cm="1">
        <f t="array" aca="1" ref="L33" ca="1">IF(AUTOEVENTO="Manual",ROUND(SUMPRODUCT((CÁLCULO!$M$15:$M$27=EVENTOS!$C33)*(OFFSET(CÁLCULO!$AA$15:$AA$27,0,L$13))),2),0)</f>
        <v>0</v>
      </c>
      <c r="M33" s="628" cm="1">
        <f t="array" aca="1" ref="M33" ca="1">IF(AUTOEVENTO="Manual",ROUND(SUMPRODUCT((CÁLCULO!$M$15:$M$27=EVENTOS!$C33)*(OFFSET(CÁLCULO!$AA$15:$AA$27,0,M$13))),2),0)</f>
        <v>0</v>
      </c>
      <c r="N33" s="628" cm="1">
        <f t="array" aca="1" ref="N33" ca="1">IF(AUTOEVENTO="Manual",ROUND(SUMPRODUCT((CÁLCULO!$M$15:$M$27=EVENTOS!$C33)*(OFFSET(CÁLCULO!$AA$15:$AA$27,0,N$13))),2),0)</f>
        <v>0</v>
      </c>
      <c r="O33" s="628" cm="1">
        <f t="array" aca="1" ref="O33" ca="1">IF(AUTOEVENTO="Manual",ROUND(SUMPRODUCT((CÁLCULO!$M$15:$M$27=EVENTOS!$C33)*(OFFSET(CÁLCULO!$AA$15:$AA$27,0,O$13))),2),0)</f>
        <v>0</v>
      </c>
      <c r="P33" s="628" cm="1">
        <f t="array" aca="1" ref="P33" ca="1">IF(AUTOEVENTO="Manual",ROUND(SUMPRODUCT((CÁLCULO!$M$15:$M$27=EVENTOS!$C33)*(OFFSET(CÁLCULO!$AA$15:$AA$27,0,P$13))),2),0)</f>
        <v>0</v>
      </c>
      <c r="Q33" s="628" cm="1">
        <f t="array" aca="1" ref="Q33" ca="1">IF(AUTOEVENTO="Manual",ROUND(SUMPRODUCT((CÁLCULO!$M$15:$M$27=EVENTOS!$C33)*(OFFSET(CÁLCULO!$AA$15:$AA$27,0,Q$13))),2),0)</f>
        <v>0</v>
      </c>
      <c r="R33" s="628" cm="1">
        <f t="array" aca="1" ref="R33" ca="1">IF(AUTOEVENTO="Manual",ROUND(SUMPRODUCT((CÁLCULO!$M$15:$M$27=EVENTOS!$C33)*(OFFSET(CÁLCULO!$AA$15:$AA$27,0,R$13))),2),0)</f>
        <v>0</v>
      </c>
      <c r="S33" s="628" cm="1">
        <f t="array" aca="1" ref="S33" ca="1">IF(AUTOEVENTO="Manual",ROUND(SUMPRODUCT((CÁLCULO!$M$15:$M$27=EVENTOS!$C33)*(OFFSET(CÁLCULO!$AA$15:$AA$27,0,S$13))),2),0)</f>
        <v>0</v>
      </c>
      <c r="T33" s="628" cm="1">
        <f t="array" aca="1" ref="T33" ca="1">IF(AUTOEVENTO="Manual",ROUND(SUMPRODUCT((CÁLCULO!$M$15:$M$27=EVENTOS!$C33)*(OFFSET(CÁLCULO!$AA$15:$AA$27,0,T$13))),2),0)</f>
        <v>0</v>
      </c>
      <c r="U33" s="628" cm="1">
        <f t="array" aca="1" ref="U33" ca="1">IF(AUTOEVENTO="Manual",ROUND(SUMPRODUCT((CÁLCULO!$M$15:$M$27=EVENTOS!$C33)*(OFFSET(CÁLCULO!$AA$15:$AA$27,0,U$13))),2),0)</f>
        <v>0</v>
      </c>
      <c r="V33" s="628" cm="1">
        <f t="array" aca="1" ref="V33" ca="1">IF(AUTOEVENTO="Manual",ROUND(SUMPRODUCT((CÁLCULO!$M$15:$M$27=EVENTOS!$C33)*(OFFSET(CÁLCULO!$AA$15:$AA$27,0,V$13))),2),0)</f>
        <v>0</v>
      </c>
      <c r="W33" s="628" cm="1">
        <f t="array" aca="1" ref="W33" ca="1">IF(AUTOEVENTO="Manual",ROUND(SUMPRODUCT((CÁLCULO!$M$15:$M$27=EVENTOS!$C33)*(OFFSET(CÁLCULO!$AA$15:$AA$27,0,W$13))),2),0)</f>
        <v>0</v>
      </c>
      <c r="X33" s="628" cm="1">
        <f t="array" aca="1" ref="X33" ca="1">IF(AUTOEVENTO="Manual",ROUND(SUMPRODUCT((CÁLCULO!$M$15:$M$27=EVENTOS!$C33)*(OFFSET(CÁLCULO!$AA$15:$AA$27,0,X$13))),2),0)</f>
        <v>0</v>
      </c>
      <c r="Y33" s="628" cm="1">
        <f t="array" aca="1" ref="Y33" ca="1">IF(AUTOEVENTO="Manual",ROUND(SUMPRODUCT((CÁLCULO!$M$15:$M$27=EVENTOS!$C33)*(OFFSET(CÁLCULO!$AA$15:$AA$27,0,Y$13))),2),0)</f>
        <v>0</v>
      </c>
    </row>
    <row r="34" spans="1:25" x14ac:dyDescent="0.2">
      <c r="A34" s="507" t="str">
        <f t="shared" si="3"/>
        <v/>
      </c>
      <c r="B34" t="str">
        <f t="shared" ca="1" si="4"/>
        <v/>
      </c>
      <c r="C34" s="183" t="str" cm="1">
        <f t="array" aca="1" ref="C34" ca="1">IF(OR(ROW(C34)=ROW(EVENTOS.firstrow)+1,AND(OFFSET(C34,-1,0)&lt;&gt;" ",OFFSET(C34,-1,1)&lt;&gt;"")),OFFSET(C34,-1,0)+1," ")</f>
        <v xml:space="preserve"> </v>
      </c>
      <c r="D34" s="497"/>
      <c r="E34" s="628" cm="1">
        <f t="array" aca="1" ref="E34" ca="1">IF(AUTOEVENTO="Manual",ROUND(SUMPRODUCT((CÁLCULO!$M$15:$M$27=EVENTOS!$C34)*(OFFSET(CÁLCULO!$AA$15:$AA$27,0,E$13))),2),0)</f>
        <v>0</v>
      </c>
      <c r="F34" s="184">
        <f ca="1">IF(AUTOEVENTO="Manual",ROUND(SUMPRODUCT((CÁLCULO!$M$15:$M$27=EVENTOS!$C34)*(OFFSET(CÁLCULO!$AA$15,0,1):OFFSET(CÁLCULO!$AL$27,0,-1))),2),0)</f>
        <v>0</v>
      </c>
      <c r="G34" s="629" t="str">
        <f t="shared" ca="1" si="5"/>
        <v/>
      </c>
      <c r="H34" s="628" cm="1">
        <f t="array" aca="1" ref="H34" ca="1">IF(AUTOEVENTO="Manual",ROUND(SUMPRODUCT((CÁLCULO!$M$15:$M$27=EVENTOS!$C34)*(OFFSET(CÁLCULO!$AA$15:$AA$27,0,H$13))),2),0)</f>
        <v>0</v>
      </c>
      <c r="I34" s="628" cm="1">
        <f t="array" aca="1" ref="I34" ca="1">IF(AUTOEVENTO="Manual",ROUND(SUMPRODUCT((CÁLCULO!$M$15:$M$27=EVENTOS!$C34)*(OFFSET(CÁLCULO!$AA$15:$AA$27,0,I$13))),2),0)</f>
        <v>0</v>
      </c>
      <c r="J34" s="628" cm="1">
        <f t="array" aca="1" ref="J34" ca="1">IF(AUTOEVENTO="Manual",ROUND(SUMPRODUCT((CÁLCULO!$M$15:$M$27=EVENTOS!$C34)*(OFFSET(CÁLCULO!$AA$15:$AA$27,0,J$13))),2),0)</f>
        <v>0</v>
      </c>
      <c r="K34" s="628" cm="1">
        <f t="array" aca="1" ref="K34" ca="1">IF(AUTOEVENTO="Manual",ROUND(SUMPRODUCT((CÁLCULO!$M$15:$M$27=EVENTOS!$C34)*(OFFSET(CÁLCULO!$AA$15:$AA$27,0,K$13))),2),0)</f>
        <v>0</v>
      </c>
      <c r="L34" s="628" cm="1">
        <f t="array" aca="1" ref="L34" ca="1">IF(AUTOEVENTO="Manual",ROUND(SUMPRODUCT((CÁLCULO!$M$15:$M$27=EVENTOS!$C34)*(OFFSET(CÁLCULO!$AA$15:$AA$27,0,L$13))),2),0)</f>
        <v>0</v>
      </c>
      <c r="M34" s="628" cm="1">
        <f t="array" aca="1" ref="M34" ca="1">IF(AUTOEVENTO="Manual",ROUND(SUMPRODUCT((CÁLCULO!$M$15:$M$27=EVENTOS!$C34)*(OFFSET(CÁLCULO!$AA$15:$AA$27,0,M$13))),2),0)</f>
        <v>0</v>
      </c>
      <c r="N34" s="628" cm="1">
        <f t="array" aca="1" ref="N34" ca="1">IF(AUTOEVENTO="Manual",ROUND(SUMPRODUCT((CÁLCULO!$M$15:$M$27=EVENTOS!$C34)*(OFFSET(CÁLCULO!$AA$15:$AA$27,0,N$13))),2),0)</f>
        <v>0</v>
      </c>
      <c r="O34" s="628" cm="1">
        <f t="array" aca="1" ref="O34" ca="1">IF(AUTOEVENTO="Manual",ROUND(SUMPRODUCT((CÁLCULO!$M$15:$M$27=EVENTOS!$C34)*(OFFSET(CÁLCULO!$AA$15:$AA$27,0,O$13))),2),0)</f>
        <v>0</v>
      </c>
      <c r="P34" s="628" cm="1">
        <f t="array" aca="1" ref="P34" ca="1">IF(AUTOEVENTO="Manual",ROUND(SUMPRODUCT((CÁLCULO!$M$15:$M$27=EVENTOS!$C34)*(OFFSET(CÁLCULO!$AA$15:$AA$27,0,P$13))),2),0)</f>
        <v>0</v>
      </c>
      <c r="Q34" s="628" cm="1">
        <f t="array" aca="1" ref="Q34" ca="1">IF(AUTOEVENTO="Manual",ROUND(SUMPRODUCT((CÁLCULO!$M$15:$M$27=EVENTOS!$C34)*(OFFSET(CÁLCULO!$AA$15:$AA$27,0,Q$13))),2),0)</f>
        <v>0</v>
      </c>
      <c r="R34" s="628" cm="1">
        <f t="array" aca="1" ref="R34" ca="1">IF(AUTOEVENTO="Manual",ROUND(SUMPRODUCT((CÁLCULO!$M$15:$M$27=EVENTOS!$C34)*(OFFSET(CÁLCULO!$AA$15:$AA$27,0,R$13))),2),0)</f>
        <v>0</v>
      </c>
      <c r="S34" s="628" cm="1">
        <f t="array" aca="1" ref="S34" ca="1">IF(AUTOEVENTO="Manual",ROUND(SUMPRODUCT((CÁLCULO!$M$15:$M$27=EVENTOS!$C34)*(OFFSET(CÁLCULO!$AA$15:$AA$27,0,S$13))),2),0)</f>
        <v>0</v>
      </c>
      <c r="T34" s="628" cm="1">
        <f t="array" aca="1" ref="T34" ca="1">IF(AUTOEVENTO="Manual",ROUND(SUMPRODUCT((CÁLCULO!$M$15:$M$27=EVENTOS!$C34)*(OFFSET(CÁLCULO!$AA$15:$AA$27,0,T$13))),2),0)</f>
        <v>0</v>
      </c>
      <c r="U34" s="628" cm="1">
        <f t="array" aca="1" ref="U34" ca="1">IF(AUTOEVENTO="Manual",ROUND(SUMPRODUCT((CÁLCULO!$M$15:$M$27=EVENTOS!$C34)*(OFFSET(CÁLCULO!$AA$15:$AA$27,0,U$13))),2),0)</f>
        <v>0</v>
      </c>
      <c r="V34" s="628" cm="1">
        <f t="array" aca="1" ref="V34" ca="1">IF(AUTOEVENTO="Manual",ROUND(SUMPRODUCT((CÁLCULO!$M$15:$M$27=EVENTOS!$C34)*(OFFSET(CÁLCULO!$AA$15:$AA$27,0,V$13))),2),0)</f>
        <v>0</v>
      </c>
      <c r="W34" s="628" cm="1">
        <f t="array" aca="1" ref="W34" ca="1">IF(AUTOEVENTO="Manual",ROUND(SUMPRODUCT((CÁLCULO!$M$15:$M$27=EVENTOS!$C34)*(OFFSET(CÁLCULO!$AA$15:$AA$27,0,W$13))),2),0)</f>
        <v>0</v>
      </c>
      <c r="X34" s="628" cm="1">
        <f t="array" aca="1" ref="X34" ca="1">IF(AUTOEVENTO="Manual",ROUND(SUMPRODUCT((CÁLCULO!$M$15:$M$27=EVENTOS!$C34)*(OFFSET(CÁLCULO!$AA$15:$AA$27,0,X$13))),2),0)</f>
        <v>0</v>
      </c>
      <c r="Y34" s="628" cm="1">
        <f t="array" aca="1" ref="Y34" ca="1">IF(AUTOEVENTO="Manual",ROUND(SUMPRODUCT((CÁLCULO!$M$15:$M$27=EVENTOS!$C34)*(OFFSET(CÁLCULO!$AA$15:$AA$27,0,Y$13))),2),0)</f>
        <v>0</v>
      </c>
    </row>
    <row r="35" spans="1:25" x14ac:dyDescent="0.2">
      <c r="A35" s="507" t="str">
        <f t="shared" si="3"/>
        <v/>
      </c>
      <c r="B35" t="str">
        <f t="shared" ca="1" si="4"/>
        <v/>
      </c>
      <c r="C35" s="183" t="str" cm="1">
        <f t="array" aca="1" ref="C35" ca="1">IF(OR(ROW(C35)=ROW(EVENTOS.firstrow)+1,AND(OFFSET(C35,-1,0)&lt;&gt;" ",OFFSET(C35,-1,1)&lt;&gt;"")),OFFSET(C35,-1,0)+1," ")</f>
        <v xml:space="preserve"> </v>
      </c>
      <c r="D35" s="497"/>
      <c r="E35" s="628" cm="1">
        <f t="array" aca="1" ref="E35" ca="1">IF(AUTOEVENTO="Manual",ROUND(SUMPRODUCT((CÁLCULO!$M$15:$M$27=EVENTOS!$C35)*(OFFSET(CÁLCULO!$AA$15:$AA$27,0,E$13))),2),0)</f>
        <v>0</v>
      </c>
      <c r="F35" s="184">
        <f ca="1">IF(AUTOEVENTO="Manual",ROUND(SUMPRODUCT((CÁLCULO!$M$15:$M$27=EVENTOS!$C35)*(OFFSET(CÁLCULO!$AA$15,0,1):OFFSET(CÁLCULO!$AL$27,0,-1))),2),0)</f>
        <v>0</v>
      </c>
      <c r="G35" s="629" t="str">
        <f t="shared" ca="1" si="5"/>
        <v/>
      </c>
      <c r="H35" s="628" cm="1">
        <f t="array" aca="1" ref="H35" ca="1">IF(AUTOEVENTO="Manual",ROUND(SUMPRODUCT((CÁLCULO!$M$15:$M$27=EVENTOS!$C35)*(OFFSET(CÁLCULO!$AA$15:$AA$27,0,H$13))),2),0)</f>
        <v>0</v>
      </c>
      <c r="I35" s="628" cm="1">
        <f t="array" aca="1" ref="I35" ca="1">IF(AUTOEVENTO="Manual",ROUND(SUMPRODUCT((CÁLCULO!$M$15:$M$27=EVENTOS!$C35)*(OFFSET(CÁLCULO!$AA$15:$AA$27,0,I$13))),2),0)</f>
        <v>0</v>
      </c>
      <c r="J35" s="628" cm="1">
        <f t="array" aca="1" ref="J35" ca="1">IF(AUTOEVENTO="Manual",ROUND(SUMPRODUCT((CÁLCULO!$M$15:$M$27=EVENTOS!$C35)*(OFFSET(CÁLCULO!$AA$15:$AA$27,0,J$13))),2),0)</f>
        <v>0</v>
      </c>
      <c r="K35" s="628" cm="1">
        <f t="array" aca="1" ref="K35" ca="1">IF(AUTOEVENTO="Manual",ROUND(SUMPRODUCT((CÁLCULO!$M$15:$M$27=EVENTOS!$C35)*(OFFSET(CÁLCULO!$AA$15:$AA$27,0,K$13))),2),0)</f>
        <v>0</v>
      </c>
      <c r="L35" s="628" cm="1">
        <f t="array" aca="1" ref="L35" ca="1">IF(AUTOEVENTO="Manual",ROUND(SUMPRODUCT((CÁLCULO!$M$15:$M$27=EVENTOS!$C35)*(OFFSET(CÁLCULO!$AA$15:$AA$27,0,L$13))),2),0)</f>
        <v>0</v>
      </c>
      <c r="M35" s="628" cm="1">
        <f t="array" aca="1" ref="M35" ca="1">IF(AUTOEVENTO="Manual",ROUND(SUMPRODUCT((CÁLCULO!$M$15:$M$27=EVENTOS!$C35)*(OFFSET(CÁLCULO!$AA$15:$AA$27,0,M$13))),2),0)</f>
        <v>0</v>
      </c>
      <c r="N35" s="628" cm="1">
        <f t="array" aca="1" ref="N35" ca="1">IF(AUTOEVENTO="Manual",ROUND(SUMPRODUCT((CÁLCULO!$M$15:$M$27=EVENTOS!$C35)*(OFFSET(CÁLCULO!$AA$15:$AA$27,0,N$13))),2),0)</f>
        <v>0</v>
      </c>
      <c r="O35" s="628" cm="1">
        <f t="array" aca="1" ref="O35" ca="1">IF(AUTOEVENTO="Manual",ROUND(SUMPRODUCT((CÁLCULO!$M$15:$M$27=EVENTOS!$C35)*(OFFSET(CÁLCULO!$AA$15:$AA$27,0,O$13))),2),0)</f>
        <v>0</v>
      </c>
      <c r="P35" s="628" cm="1">
        <f t="array" aca="1" ref="P35" ca="1">IF(AUTOEVENTO="Manual",ROUND(SUMPRODUCT((CÁLCULO!$M$15:$M$27=EVENTOS!$C35)*(OFFSET(CÁLCULO!$AA$15:$AA$27,0,P$13))),2),0)</f>
        <v>0</v>
      </c>
      <c r="Q35" s="628" cm="1">
        <f t="array" aca="1" ref="Q35" ca="1">IF(AUTOEVENTO="Manual",ROUND(SUMPRODUCT((CÁLCULO!$M$15:$M$27=EVENTOS!$C35)*(OFFSET(CÁLCULO!$AA$15:$AA$27,0,Q$13))),2),0)</f>
        <v>0</v>
      </c>
      <c r="R35" s="628" cm="1">
        <f t="array" aca="1" ref="R35" ca="1">IF(AUTOEVENTO="Manual",ROUND(SUMPRODUCT((CÁLCULO!$M$15:$M$27=EVENTOS!$C35)*(OFFSET(CÁLCULO!$AA$15:$AA$27,0,R$13))),2),0)</f>
        <v>0</v>
      </c>
      <c r="S35" s="628" cm="1">
        <f t="array" aca="1" ref="S35" ca="1">IF(AUTOEVENTO="Manual",ROUND(SUMPRODUCT((CÁLCULO!$M$15:$M$27=EVENTOS!$C35)*(OFFSET(CÁLCULO!$AA$15:$AA$27,0,S$13))),2),0)</f>
        <v>0</v>
      </c>
      <c r="T35" s="628" cm="1">
        <f t="array" aca="1" ref="T35" ca="1">IF(AUTOEVENTO="Manual",ROUND(SUMPRODUCT((CÁLCULO!$M$15:$M$27=EVENTOS!$C35)*(OFFSET(CÁLCULO!$AA$15:$AA$27,0,T$13))),2),0)</f>
        <v>0</v>
      </c>
      <c r="U35" s="628" cm="1">
        <f t="array" aca="1" ref="U35" ca="1">IF(AUTOEVENTO="Manual",ROUND(SUMPRODUCT((CÁLCULO!$M$15:$M$27=EVENTOS!$C35)*(OFFSET(CÁLCULO!$AA$15:$AA$27,0,U$13))),2),0)</f>
        <v>0</v>
      </c>
      <c r="V35" s="628" cm="1">
        <f t="array" aca="1" ref="V35" ca="1">IF(AUTOEVENTO="Manual",ROUND(SUMPRODUCT((CÁLCULO!$M$15:$M$27=EVENTOS!$C35)*(OFFSET(CÁLCULO!$AA$15:$AA$27,0,V$13))),2),0)</f>
        <v>0</v>
      </c>
      <c r="W35" s="628" cm="1">
        <f t="array" aca="1" ref="W35" ca="1">IF(AUTOEVENTO="Manual",ROUND(SUMPRODUCT((CÁLCULO!$M$15:$M$27=EVENTOS!$C35)*(OFFSET(CÁLCULO!$AA$15:$AA$27,0,W$13))),2),0)</f>
        <v>0</v>
      </c>
      <c r="X35" s="628" cm="1">
        <f t="array" aca="1" ref="X35" ca="1">IF(AUTOEVENTO="Manual",ROUND(SUMPRODUCT((CÁLCULO!$M$15:$M$27=EVENTOS!$C35)*(OFFSET(CÁLCULO!$AA$15:$AA$27,0,X$13))),2),0)</f>
        <v>0</v>
      </c>
      <c r="Y35" s="628" cm="1">
        <f t="array" aca="1" ref="Y35" ca="1">IF(AUTOEVENTO="Manual",ROUND(SUMPRODUCT((CÁLCULO!$M$15:$M$27=EVENTOS!$C35)*(OFFSET(CÁLCULO!$AA$15:$AA$27,0,Y$13))),2),0)</f>
        <v>0</v>
      </c>
    </row>
    <row r="36" spans="1:25" x14ac:dyDescent="0.2">
      <c r="A36" s="507" t="str">
        <f t="shared" si="3"/>
        <v/>
      </c>
      <c r="B36" t="str">
        <f t="shared" ca="1" si="4"/>
        <v/>
      </c>
      <c r="C36" s="183" t="str" cm="1">
        <f t="array" aca="1" ref="C36" ca="1">IF(OR(ROW(C36)=ROW(EVENTOS.firstrow)+1,AND(OFFSET(C36,-1,0)&lt;&gt;" ",OFFSET(C36,-1,1)&lt;&gt;"")),OFFSET(C36,-1,0)+1," ")</f>
        <v xml:space="preserve"> </v>
      </c>
      <c r="D36" s="497"/>
      <c r="E36" s="628" cm="1">
        <f t="array" aca="1" ref="E36" ca="1">IF(AUTOEVENTO="Manual",ROUND(SUMPRODUCT((CÁLCULO!$M$15:$M$27=EVENTOS!$C36)*(OFFSET(CÁLCULO!$AA$15:$AA$27,0,E$13))),2),0)</f>
        <v>0</v>
      </c>
      <c r="F36" s="184">
        <f ca="1">IF(AUTOEVENTO="Manual",ROUND(SUMPRODUCT((CÁLCULO!$M$15:$M$27=EVENTOS!$C36)*(OFFSET(CÁLCULO!$AA$15,0,1):OFFSET(CÁLCULO!$AL$27,0,-1))),2),0)</f>
        <v>0</v>
      </c>
      <c r="G36" s="629" t="str">
        <f t="shared" ca="1" si="5"/>
        <v/>
      </c>
      <c r="H36" s="628" cm="1">
        <f t="array" aca="1" ref="H36" ca="1">IF(AUTOEVENTO="Manual",ROUND(SUMPRODUCT((CÁLCULO!$M$15:$M$27=EVENTOS!$C36)*(OFFSET(CÁLCULO!$AA$15:$AA$27,0,H$13))),2),0)</f>
        <v>0</v>
      </c>
      <c r="I36" s="628" cm="1">
        <f t="array" aca="1" ref="I36" ca="1">IF(AUTOEVENTO="Manual",ROUND(SUMPRODUCT((CÁLCULO!$M$15:$M$27=EVENTOS!$C36)*(OFFSET(CÁLCULO!$AA$15:$AA$27,0,I$13))),2),0)</f>
        <v>0</v>
      </c>
      <c r="J36" s="628" cm="1">
        <f t="array" aca="1" ref="J36" ca="1">IF(AUTOEVENTO="Manual",ROUND(SUMPRODUCT((CÁLCULO!$M$15:$M$27=EVENTOS!$C36)*(OFFSET(CÁLCULO!$AA$15:$AA$27,0,J$13))),2),0)</f>
        <v>0</v>
      </c>
      <c r="K36" s="628" cm="1">
        <f t="array" aca="1" ref="K36" ca="1">IF(AUTOEVENTO="Manual",ROUND(SUMPRODUCT((CÁLCULO!$M$15:$M$27=EVENTOS!$C36)*(OFFSET(CÁLCULO!$AA$15:$AA$27,0,K$13))),2),0)</f>
        <v>0</v>
      </c>
      <c r="L36" s="628" cm="1">
        <f t="array" aca="1" ref="L36" ca="1">IF(AUTOEVENTO="Manual",ROUND(SUMPRODUCT((CÁLCULO!$M$15:$M$27=EVENTOS!$C36)*(OFFSET(CÁLCULO!$AA$15:$AA$27,0,L$13))),2),0)</f>
        <v>0</v>
      </c>
      <c r="M36" s="628" cm="1">
        <f t="array" aca="1" ref="M36" ca="1">IF(AUTOEVENTO="Manual",ROUND(SUMPRODUCT((CÁLCULO!$M$15:$M$27=EVENTOS!$C36)*(OFFSET(CÁLCULO!$AA$15:$AA$27,0,M$13))),2),0)</f>
        <v>0</v>
      </c>
      <c r="N36" s="628" cm="1">
        <f t="array" aca="1" ref="N36" ca="1">IF(AUTOEVENTO="Manual",ROUND(SUMPRODUCT((CÁLCULO!$M$15:$M$27=EVENTOS!$C36)*(OFFSET(CÁLCULO!$AA$15:$AA$27,0,N$13))),2),0)</f>
        <v>0</v>
      </c>
      <c r="O36" s="628" cm="1">
        <f t="array" aca="1" ref="O36" ca="1">IF(AUTOEVENTO="Manual",ROUND(SUMPRODUCT((CÁLCULO!$M$15:$M$27=EVENTOS!$C36)*(OFFSET(CÁLCULO!$AA$15:$AA$27,0,O$13))),2),0)</f>
        <v>0</v>
      </c>
      <c r="P36" s="628" cm="1">
        <f t="array" aca="1" ref="P36" ca="1">IF(AUTOEVENTO="Manual",ROUND(SUMPRODUCT((CÁLCULO!$M$15:$M$27=EVENTOS!$C36)*(OFFSET(CÁLCULO!$AA$15:$AA$27,0,P$13))),2),0)</f>
        <v>0</v>
      </c>
      <c r="Q36" s="628" cm="1">
        <f t="array" aca="1" ref="Q36" ca="1">IF(AUTOEVENTO="Manual",ROUND(SUMPRODUCT((CÁLCULO!$M$15:$M$27=EVENTOS!$C36)*(OFFSET(CÁLCULO!$AA$15:$AA$27,0,Q$13))),2),0)</f>
        <v>0</v>
      </c>
      <c r="R36" s="628" cm="1">
        <f t="array" aca="1" ref="R36" ca="1">IF(AUTOEVENTO="Manual",ROUND(SUMPRODUCT((CÁLCULO!$M$15:$M$27=EVENTOS!$C36)*(OFFSET(CÁLCULO!$AA$15:$AA$27,0,R$13))),2),0)</f>
        <v>0</v>
      </c>
      <c r="S36" s="628" cm="1">
        <f t="array" aca="1" ref="S36" ca="1">IF(AUTOEVENTO="Manual",ROUND(SUMPRODUCT((CÁLCULO!$M$15:$M$27=EVENTOS!$C36)*(OFFSET(CÁLCULO!$AA$15:$AA$27,0,S$13))),2),0)</f>
        <v>0</v>
      </c>
      <c r="T36" s="628" cm="1">
        <f t="array" aca="1" ref="T36" ca="1">IF(AUTOEVENTO="Manual",ROUND(SUMPRODUCT((CÁLCULO!$M$15:$M$27=EVENTOS!$C36)*(OFFSET(CÁLCULO!$AA$15:$AA$27,0,T$13))),2),0)</f>
        <v>0</v>
      </c>
      <c r="U36" s="628" cm="1">
        <f t="array" aca="1" ref="U36" ca="1">IF(AUTOEVENTO="Manual",ROUND(SUMPRODUCT((CÁLCULO!$M$15:$M$27=EVENTOS!$C36)*(OFFSET(CÁLCULO!$AA$15:$AA$27,0,U$13))),2),0)</f>
        <v>0</v>
      </c>
      <c r="V36" s="628" cm="1">
        <f t="array" aca="1" ref="V36" ca="1">IF(AUTOEVENTO="Manual",ROUND(SUMPRODUCT((CÁLCULO!$M$15:$M$27=EVENTOS!$C36)*(OFFSET(CÁLCULO!$AA$15:$AA$27,0,V$13))),2),0)</f>
        <v>0</v>
      </c>
      <c r="W36" s="628" cm="1">
        <f t="array" aca="1" ref="W36" ca="1">IF(AUTOEVENTO="Manual",ROUND(SUMPRODUCT((CÁLCULO!$M$15:$M$27=EVENTOS!$C36)*(OFFSET(CÁLCULO!$AA$15:$AA$27,0,W$13))),2),0)</f>
        <v>0</v>
      </c>
      <c r="X36" s="628" cm="1">
        <f t="array" aca="1" ref="X36" ca="1">IF(AUTOEVENTO="Manual",ROUND(SUMPRODUCT((CÁLCULO!$M$15:$M$27=EVENTOS!$C36)*(OFFSET(CÁLCULO!$AA$15:$AA$27,0,X$13))),2),0)</f>
        <v>0</v>
      </c>
      <c r="Y36" s="628" cm="1">
        <f t="array" aca="1" ref="Y36" ca="1">IF(AUTOEVENTO="Manual",ROUND(SUMPRODUCT((CÁLCULO!$M$15:$M$27=EVENTOS!$C36)*(OFFSET(CÁLCULO!$AA$15:$AA$27,0,Y$13))),2),0)</f>
        <v>0</v>
      </c>
    </row>
    <row r="37" spans="1:25" x14ac:dyDescent="0.2">
      <c r="A37" s="507" t="str">
        <f t="shared" si="3"/>
        <v/>
      </c>
      <c r="B37" t="str">
        <f t="shared" ca="1" si="4"/>
        <v/>
      </c>
      <c r="C37" s="183" t="str" cm="1">
        <f t="array" aca="1" ref="C37" ca="1">IF(OR(ROW(C37)=ROW(EVENTOS.firstrow)+1,AND(OFFSET(C37,-1,0)&lt;&gt;" ",OFFSET(C37,-1,1)&lt;&gt;"")),OFFSET(C37,-1,0)+1," ")</f>
        <v xml:space="preserve"> </v>
      </c>
      <c r="D37" s="497"/>
      <c r="E37" s="628" cm="1">
        <f t="array" aca="1" ref="E37" ca="1">IF(AUTOEVENTO="Manual",ROUND(SUMPRODUCT((CÁLCULO!$M$15:$M$27=EVENTOS!$C37)*(OFFSET(CÁLCULO!$AA$15:$AA$27,0,E$13))),2),0)</f>
        <v>0</v>
      </c>
      <c r="F37" s="184">
        <f ca="1">IF(AUTOEVENTO="Manual",ROUND(SUMPRODUCT((CÁLCULO!$M$15:$M$27=EVENTOS!$C37)*(OFFSET(CÁLCULO!$AA$15,0,1):OFFSET(CÁLCULO!$AL$27,0,-1))),2),0)</f>
        <v>0</v>
      </c>
      <c r="G37" s="629" t="str">
        <f t="shared" ca="1" si="5"/>
        <v/>
      </c>
      <c r="H37" s="628" cm="1">
        <f t="array" aca="1" ref="H37" ca="1">IF(AUTOEVENTO="Manual",ROUND(SUMPRODUCT((CÁLCULO!$M$15:$M$27=EVENTOS!$C37)*(OFFSET(CÁLCULO!$AA$15:$AA$27,0,H$13))),2),0)</f>
        <v>0</v>
      </c>
      <c r="I37" s="628" cm="1">
        <f t="array" aca="1" ref="I37" ca="1">IF(AUTOEVENTO="Manual",ROUND(SUMPRODUCT((CÁLCULO!$M$15:$M$27=EVENTOS!$C37)*(OFFSET(CÁLCULO!$AA$15:$AA$27,0,I$13))),2),0)</f>
        <v>0</v>
      </c>
      <c r="J37" s="628" cm="1">
        <f t="array" aca="1" ref="J37" ca="1">IF(AUTOEVENTO="Manual",ROUND(SUMPRODUCT((CÁLCULO!$M$15:$M$27=EVENTOS!$C37)*(OFFSET(CÁLCULO!$AA$15:$AA$27,0,J$13))),2),0)</f>
        <v>0</v>
      </c>
      <c r="K37" s="628" cm="1">
        <f t="array" aca="1" ref="K37" ca="1">IF(AUTOEVENTO="Manual",ROUND(SUMPRODUCT((CÁLCULO!$M$15:$M$27=EVENTOS!$C37)*(OFFSET(CÁLCULO!$AA$15:$AA$27,0,K$13))),2),0)</f>
        <v>0</v>
      </c>
      <c r="L37" s="628" cm="1">
        <f t="array" aca="1" ref="L37" ca="1">IF(AUTOEVENTO="Manual",ROUND(SUMPRODUCT((CÁLCULO!$M$15:$M$27=EVENTOS!$C37)*(OFFSET(CÁLCULO!$AA$15:$AA$27,0,L$13))),2),0)</f>
        <v>0</v>
      </c>
      <c r="M37" s="628" cm="1">
        <f t="array" aca="1" ref="M37" ca="1">IF(AUTOEVENTO="Manual",ROUND(SUMPRODUCT((CÁLCULO!$M$15:$M$27=EVENTOS!$C37)*(OFFSET(CÁLCULO!$AA$15:$AA$27,0,M$13))),2),0)</f>
        <v>0</v>
      </c>
      <c r="N37" s="628" cm="1">
        <f t="array" aca="1" ref="N37" ca="1">IF(AUTOEVENTO="Manual",ROUND(SUMPRODUCT((CÁLCULO!$M$15:$M$27=EVENTOS!$C37)*(OFFSET(CÁLCULO!$AA$15:$AA$27,0,N$13))),2),0)</f>
        <v>0</v>
      </c>
      <c r="O37" s="628" cm="1">
        <f t="array" aca="1" ref="O37" ca="1">IF(AUTOEVENTO="Manual",ROUND(SUMPRODUCT((CÁLCULO!$M$15:$M$27=EVENTOS!$C37)*(OFFSET(CÁLCULO!$AA$15:$AA$27,0,O$13))),2),0)</f>
        <v>0</v>
      </c>
      <c r="P37" s="628" cm="1">
        <f t="array" aca="1" ref="P37" ca="1">IF(AUTOEVENTO="Manual",ROUND(SUMPRODUCT((CÁLCULO!$M$15:$M$27=EVENTOS!$C37)*(OFFSET(CÁLCULO!$AA$15:$AA$27,0,P$13))),2),0)</f>
        <v>0</v>
      </c>
      <c r="Q37" s="628" cm="1">
        <f t="array" aca="1" ref="Q37" ca="1">IF(AUTOEVENTO="Manual",ROUND(SUMPRODUCT((CÁLCULO!$M$15:$M$27=EVENTOS!$C37)*(OFFSET(CÁLCULO!$AA$15:$AA$27,0,Q$13))),2),0)</f>
        <v>0</v>
      </c>
      <c r="R37" s="628" cm="1">
        <f t="array" aca="1" ref="R37" ca="1">IF(AUTOEVENTO="Manual",ROUND(SUMPRODUCT((CÁLCULO!$M$15:$M$27=EVENTOS!$C37)*(OFFSET(CÁLCULO!$AA$15:$AA$27,0,R$13))),2),0)</f>
        <v>0</v>
      </c>
      <c r="S37" s="628" cm="1">
        <f t="array" aca="1" ref="S37" ca="1">IF(AUTOEVENTO="Manual",ROUND(SUMPRODUCT((CÁLCULO!$M$15:$M$27=EVENTOS!$C37)*(OFFSET(CÁLCULO!$AA$15:$AA$27,0,S$13))),2),0)</f>
        <v>0</v>
      </c>
      <c r="T37" s="628" cm="1">
        <f t="array" aca="1" ref="T37" ca="1">IF(AUTOEVENTO="Manual",ROUND(SUMPRODUCT((CÁLCULO!$M$15:$M$27=EVENTOS!$C37)*(OFFSET(CÁLCULO!$AA$15:$AA$27,0,T$13))),2),0)</f>
        <v>0</v>
      </c>
      <c r="U37" s="628" cm="1">
        <f t="array" aca="1" ref="U37" ca="1">IF(AUTOEVENTO="Manual",ROUND(SUMPRODUCT((CÁLCULO!$M$15:$M$27=EVENTOS!$C37)*(OFFSET(CÁLCULO!$AA$15:$AA$27,0,U$13))),2),0)</f>
        <v>0</v>
      </c>
      <c r="V37" s="628" cm="1">
        <f t="array" aca="1" ref="V37" ca="1">IF(AUTOEVENTO="Manual",ROUND(SUMPRODUCT((CÁLCULO!$M$15:$M$27=EVENTOS!$C37)*(OFFSET(CÁLCULO!$AA$15:$AA$27,0,V$13))),2),0)</f>
        <v>0</v>
      </c>
      <c r="W37" s="628" cm="1">
        <f t="array" aca="1" ref="W37" ca="1">IF(AUTOEVENTO="Manual",ROUND(SUMPRODUCT((CÁLCULO!$M$15:$M$27=EVENTOS!$C37)*(OFFSET(CÁLCULO!$AA$15:$AA$27,0,W$13))),2),0)</f>
        <v>0</v>
      </c>
      <c r="X37" s="628" cm="1">
        <f t="array" aca="1" ref="X37" ca="1">IF(AUTOEVENTO="Manual",ROUND(SUMPRODUCT((CÁLCULO!$M$15:$M$27=EVENTOS!$C37)*(OFFSET(CÁLCULO!$AA$15:$AA$27,0,X$13))),2),0)</f>
        <v>0</v>
      </c>
      <c r="Y37" s="628" cm="1">
        <f t="array" aca="1" ref="Y37" ca="1">IF(AUTOEVENTO="Manual",ROUND(SUMPRODUCT((CÁLCULO!$M$15:$M$27=EVENTOS!$C37)*(OFFSET(CÁLCULO!$AA$15:$AA$27,0,Y$13))),2),0)</f>
        <v>0</v>
      </c>
    </row>
    <row r="38" spans="1:25" x14ac:dyDescent="0.2">
      <c r="A38" s="507" t="str">
        <f t="shared" si="3"/>
        <v/>
      </c>
      <c r="B38" t="str">
        <f t="shared" ca="1" si="4"/>
        <v/>
      </c>
      <c r="C38" s="183" t="str" cm="1">
        <f t="array" aca="1" ref="C38" ca="1">IF(OR(ROW(C38)=ROW(EVENTOS.firstrow)+1,AND(OFFSET(C38,-1,0)&lt;&gt;" ",OFFSET(C38,-1,1)&lt;&gt;"")),OFFSET(C38,-1,0)+1," ")</f>
        <v xml:space="preserve"> </v>
      </c>
      <c r="D38" s="497"/>
      <c r="E38" s="628" cm="1">
        <f t="array" aca="1" ref="E38" ca="1">IF(AUTOEVENTO="Manual",ROUND(SUMPRODUCT((CÁLCULO!$M$15:$M$27=EVENTOS!$C38)*(OFFSET(CÁLCULO!$AA$15:$AA$27,0,E$13))),2),0)</f>
        <v>0</v>
      </c>
      <c r="F38" s="184">
        <f ca="1">IF(AUTOEVENTO="Manual",ROUND(SUMPRODUCT((CÁLCULO!$M$15:$M$27=EVENTOS!$C38)*(OFFSET(CÁLCULO!$AA$15,0,1):OFFSET(CÁLCULO!$AL$27,0,-1))),2),0)</f>
        <v>0</v>
      </c>
      <c r="G38" s="629" t="str">
        <f t="shared" ca="1" si="5"/>
        <v/>
      </c>
      <c r="H38" s="628" cm="1">
        <f t="array" aca="1" ref="H38" ca="1">IF(AUTOEVENTO="Manual",ROUND(SUMPRODUCT((CÁLCULO!$M$15:$M$27=EVENTOS!$C38)*(OFFSET(CÁLCULO!$AA$15:$AA$27,0,H$13))),2),0)</f>
        <v>0</v>
      </c>
      <c r="I38" s="628" cm="1">
        <f t="array" aca="1" ref="I38" ca="1">IF(AUTOEVENTO="Manual",ROUND(SUMPRODUCT((CÁLCULO!$M$15:$M$27=EVENTOS!$C38)*(OFFSET(CÁLCULO!$AA$15:$AA$27,0,I$13))),2),0)</f>
        <v>0</v>
      </c>
      <c r="J38" s="628" cm="1">
        <f t="array" aca="1" ref="J38" ca="1">IF(AUTOEVENTO="Manual",ROUND(SUMPRODUCT((CÁLCULO!$M$15:$M$27=EVENTOS!$C38)*(OFFSET(CÁLCULO!$AA$15:$AA$27,0,J$13))),2),0)</f>
        <v>0</v>
      </c>
      <c r="K38" s="628" cm="1">
        <f t="array" aca="1" ref="K38" ca="1">IF(AUTOEVENTO="Manual",ROUND(SUMPRODUCT((CÁLCULO!$M$15:$M$27=EVENTOS!$C38)*(OFFSET(CÁLCULO!$AA$15:$AA$27,0,K$13))),2),0)</f>
        <v>0</v>
      </c>
      <c r="L38" s="628" cm="1">
        <f t="array" aca="1" ref="L38" ca="1">IF(AUTOEVENTO="Manual",ROUND(SUMPRODUCT((CÁLCULO!$M$15:$M$27=EVENTOS!$C38)*(OFFSET(CÁLCULO!$AA$15:$AA$27,0,L$13))),2),0)</f>
        <v>0</v>
      </c>
      <c r="M38" s="628" cm="1">
        <f t="array" aca="1" ref="M38" ca="1">IF(AUTOEVENTO="Manual",ROUND(SUMPRODUCT((CÁLCULO!$M$15:$M$27=EVENTOS!$C38)*(OFFSET(CÁLCULO!$AA$15:$AA$27,0,M$13))),2),0)</f>
        <v>0</v>
      </c>
      <c r="N38" s="628" cm="1">
        <f t="array" aca="1" ref="N38" ca="1">IF(AUTOEVENTO="Manual",ROUND(SUMPRODUCT((CÁLCULO!$M$15:$M$27=EVENTOS!$C38)*(OFFSET(CÁLCULO!$AA$15:$AA$27,0,N$13))),2),0)</f>
        <v>0</v>
      </c>
      <c r="O38" s="628" cm="1">
        <f t="array" aca="1" ref="O38" ca="1">IF(AUTOEVENTO="Manual",ROUND(SUMPRODUCT((CÁLCULO!$M$15:$M$27=EVENTOS!$C38)*(OFFSET(CÁLCULO!$AA$15:$AA$27,0,O$13))),2),0)</f>
        <v>0</v>
      </c>
      <c r="P38" s="628" cm="1">
        <f t="array" aca="1" ref="P38" ca="1">IF(AUTOEVENTO="Manual",ROUND(SUMPRODUCT((CÁLCULO!$M$15:$M$27=EVENTOS!$C38)*(OFFSET(CÁLCULO!$AA$15:$AA$27,0,P$13))),2),0)</f>
        <v>0</v>
      </c>
      <c r="Q38" s="628" cm="1">
        <f t="array" aca="1" ref="Q38" ca="1">IF(AUTOEVENTO="Manual",ROUND(SUMPRODUCT((CÁLCULO!$M$15:$M$27=EVENTOS!$C38)*(OFFSET(CÁLCULO!$AA$15:$AA$27,0,Q$13))),2),0)</f>
        <v>0</v>
      </c>
      <c r="R38" s="628" cm="1">
        <f t="array" aca="1" ref="R38" ca="1">IF(AUTOEVENTO="Manual",ROUND(SUMPRODUCT((CÁLCULO!$M$15:$M$27=EVENTOS!$C38)*(OFFSET(CÁLCULO!$AA$15:$AA$27,0,R$13))),2),0)</f>
        <v>0</v>
      </c>
      <c r="S38" s="628" cm="1">
        <f t="array" aca="1" ref="S38" ca="1">IF(AUTOEVENTO="Manual",ROUND(SUMPRODUCT((CÁLCULO!$M$15:$M$27=EVENTOS!$C38)*(OFFSET(CÁLCULO!$AA$15:$AA$27,0,S$13))),2),0)</f>
        <v>0</v>
      </c>
      <c r="T38" s="628" cm="1">
        <f t="array" aca="1" ref="T38" ca="1">IF(AUTOEVENTO="Manual",ROUND(SUMPRODUCT((CÁLCULO!$M$15:$M$27=EVENTOS!$C38)*(OFFSET(CÁLCULO!$AA$15:$AA$27,0,T$13))),2),0)</f>
        <v>0</v>
      </c>
      <c r="U38" s="628" cm="1">
        <f t="array" aca="1" ref="U38" ca="1">IF(AUTOEVENTO="Manual",ROUND(SUMPRODUCT((CÁLCULO!$M$15:$M$27=EVENTOS!$C38)*(OFFSET(CÁLCULO!$AA$15:$AA$27,0,U$13))),2),0)</f>
        <v>0</v>
      </c>
      <c r="V38" s="628" cm="1">
        <f t="array" aca="1" ref="V38" ca="1">IF(AUTOEVENTO="Manual",ROUND(SUMPRODUCT((CÁLCULO!$M$15:$M$27=EVENTOS!$C38)*(OFFSET(CÁLCULO!$AA$15:$AA$27,0,V$13))),2),0)</f>
        <v>0</v>
      </c>
      <c r="W38" s="628" cm="1">
        <f t="array" aca="1" ref="W38" ca="1">IF(AUTOEVENTO="Manual",ROUND(SUMPRODUCT((CÁLCULO!$M$15:$M$27=EVENTOS!$C38)*(OFFSET(CÁLCULO!$AA$15:$AA$27,0,W$13))),2),0)</f>
        <v>0</v>
      </c>
      <c r="X38" s="628" cm="1">
        <f t="array" aca="1" ref="X38" ca="1">IF(AUTOEVENTO="Manual",ROUND(SUMPRODUCT((CÁLCULO!$M$15:$M$27=EVENTOS!$C38)*(OFFSET(CÁLCULO!$AA$15:$AA$27,0,X$13))),2),0)</f>
        <v>0</v>
      </c>
      <c r="Y38" s="628" cm="1">
        <f t="array" aca="1" ref="Y38" ca="1">IF(AUTOEVENTO="Manual",ROUND(SUMPRODUCT((CÁLCULO!$M$15:$M$27=EVENTOS!$C38)*(OFFSET(CÁLCULO!$AA$15:$AA$27,0,Y$13))),2),0)</f>
        <v>0</v>
      </c>
    </row>
    <row r="39" spans="1:25" x14ac:dyDescent="0.2">
      <c r="A39" s="507" t="str">
        <f t="shared" si="3"/>
        <v/>
      </c>
      <c r="B39" t="str">
        <f t="shared" ca="1" si="4"/>
        <v/>
      </c>
      <c r="C39" s="183" t="str" cm="1">
        <f t="array" aca="1" ref="C39" ca="1">IF(OR(ROW(C39)=ROW(EVENTOS.firstrow)+1,AND(OFFSET(C39,-1,0)&lt;&gt;" ",OFFSET(C39,-1,1)&lt;&gt;"")),OFFSET(C39,-1,0)+1," ")</f>
        <v xml:space="preserve"> </v>
      </c>
      <c r="D39" s="497"/>
      <c r="E39" s="628" cm="1">
        <f t="array" aca="1" ref="E39" ca="1">IF(AUTOEVENTO="Manual",ROUND(SUMPRODUCT((CÁLCULO!$M$15:$M$27=EVENTOS!$C39)*(OFFSET(CÁLCULO!$AA$15:$AA$27,0,E$13))),2),0)</f>
        <v>0</v>
      </c>
      <c r="F39" s="184">
        <f ca="1">IF(AUTOEVENTO="Manual",ROUND(SUMPRODUCT((CÁLCULO!$M$15:$M$27=EVENTOS!$C39)*(OFFSET(CÁLCULO!$AA$15,0,1):OFFSET(CÁLCULO!$AL$27,0,-1))),2),0)</f>
        <v>0</v>
      </c>
      <c r="G39" s="629" t="str">
        <f t="shared" ca="1" si="5"/>
        <v/>
      </c>
      <c r="H39" s="628" cm="1">
        <f t="array" aca="1" ref="H39" ca="1">IF(AUTOEVENTO="Manual",ROUND(SUMPRODUCT((CÁLCULO!$M$15:$M$27=EVENTOS!$C39)*(OFFSET(CÁLCULO!$AA$15:$AA$27,0,H$13))),2),0)</f>
        <v>0</v>
      </c>
      <c r="I39" s="628" cm="1">
        <f t="array" aca="1" ref="I39" ca="1">IF(AUTOEVENTO="Manual",ROUND(SUMPRODUCT((CÁLCULO!$M$15:$M$27=EVENTOS!$C39)*(OFFSET(CÁLCULO!$AA$15:$AA$27,0,I$13))),2),0)</f>
        <v>0</v>
      </c>
      <c r="J39" s="628" cm="1">
        <f t="array" aca="1" ref="J39" ca="1">IF(AUTOEVENTO="Manual",ROUND(SUMPRODUCT((CÁLCULO!$M$15:$M$27=EVENTOS!$C39)*(OFFSET(CÁLCULO!$AA$15:$AA$27,0,J$13))),2),0)</f>
        <v>0</v>
      </c>
      <c r="K39" s="628" cm="1">
        <f t="array" aca="1" ref="K39" ca="1">IF(AUTOEVENTO="Manual",ROUND(SUMPRODUCT((CÁLCULO!$M$15:$M$27=EVENTOS!$C39)*(OFFSET(CÁLCULO!$AA$15:$AA$27,0,K$13))),2),0)</f>
        <v>0</v>
      </c>
      <c r="L39" s="628" cm="1">
        <f t="array" aca="1" ref="L39" ca="1">IF(AUTOEVENTO="Manual",ROUND(SUMPRODUCT((CÁLCULO!$M$15:$M$27=EVENTOS!$C39)*(OFFSET(CÁLCULO!$AA$15:$AA$27,0,L$13))),2),0)</f>
        <v>0</v>
      </c>
      <c r="M39" s="628" cm="1">
        <f t="array" aca="1" ref="M39" ca="1">IF(AUTOEVENTO="Manual",ROUND(SUMPRODUCT((CÁLCULO!$M$15:$M$27=EVENTOS!$C39)*(OFFSET(CÁLCULO!$AA$15:$AA$27,0,M$13))),2),0)</f>
        <v>0</v>
      </c>
      <c r="N39" s="628" cm="1">
        <f t="array" aca="1" ref="N39" ca="1">IF(AUTOEVENTO="Manual",ROUND(SUMPRODUCT((CÁLCULO!$M$15:$M$27=EVENTOS!$C39)*(OFFSET(CÁLCULO!$AA$15:$AA$27,0,N$13))),2),0)</f>
        <v>0</v>
      </c>
      <c r="O39" s="628" cm="1">
        <f t="array" aca="1" ref="O39" ca="1">IF(AUTOEVENTO="Manual",ROUND(SUMPRODUCT((CÁLCULO!$M$15:$M$27=EVENTOS!$C39)*(OFFSET(CÁLCULO!$AA$15:$AA$27,0,O$13))),2),0)</f>
        <v>0</v>
      </c>
      <c r="P39" s="628" cm="1">
        <f t="array" aca="1" ref="P39" ca="1">IF(AUTOEVENTO="Manual",ROUND(SUMPRODUCT((CÁLCULO!$M$15:$M$27=EVENTOS!$C39)*(OFFSET(CÁLCULO!$AA$15:$AA$27,0,P$13))),2),0)</f>
        <v>0</v>
      </c>
      <c r="Q39" s="628" cm="1">
        <f t="array" aca="1" ref="Q39" ca="1">IF(AUTOEVENTO="Manual",ROUND(SUMPRODUCT((CÁLCULO!$M$15:$M$27=EVENTOS!$C39)*(OFFSET(CÁLCULO!$AA$15:$AA$27,0,Q$13))),2),0)</f>
        <v>0</v>
      </c>
      <c r="R39" s="628" cm="1">
        <f t="array" aca="1" ref="R39" ca="1">IF(AUTOEVENTO="Manual",ROUND(SUMPRODUCT((CÁLCULO!$M$15:$M$27=EVENTOS!$C39)*(OFFSET(CÁLCULO!$AA$15:$AA$27,0,R$13))),2),0)</f>
        <v>0</v>
      </c>
      <c r="S39" s="628" cm="1">
        <f t="array" aca="1" ref="S39" ca="1">IF(AUTOEVENTO="Manual",ROUND(SUMPRODUCT((CÁLCULO!$M$15:$M$27=EVENTOS!$C39)*(OFFSET(CÁLCULO!$AA$15:$AA$27,0,S$13))),2),0)</f>
        <v>0</v>
      </c>
      <c r="T39" s="628" cm="1">
        <f t="array" aca="1" ref="T39" ca="1">IF(AUTOEVENTO="Manual",ROUND(SUMPRODUCT((CÁLCULO!$M$15:$M$27=EVENTOS!$C39)*(OFFSET(CÁLCULO!$AA$15:$AA$27,0,T$13))),2),0)</f>
        <v>0</v>
      </c>
      <c r="U39" s="628" cm="1">
        <f t="array" aca="1" ref="U39" ca="1">IF(AUTOEVENTO="Manual",ROUND(SUMPRODUCT((CÁLCULO!$M$15:$M$27=EVENTOS!$C39)*(OFFSET(CÁLCULO!$AA$15:$AA$27,0,U$13))),2),0)</f>
        <v>0</v>
      </c>
      <c r="V39" s="628" cm="1">
        <f t="array" aca="1" ref="V39" ca="1">IF(AUTOEVENTO="Manual",ROUND(SUMPRODUCT((CÁLCULO!$M$15:$M$27=EVENTOS!$C39)*(OFFSET(CÁLCULO!$AA$15:$AA$27,0,V$13))),2),0)</f>
        <v>0</v>
      </c>
      <c r="W39" s="628" cm="1">
        <f t="array" aca="1" ref="W39" ca="1">IF(AUTOEVENTO="Manual",ROUND(SUMPRODUCT((CÁLCULO!$M$15:$M$27=EVENTOS!$C39)*(OFFSET(CÁLCULO!$AA$15:$AA$27,0,W$13))),2),0)</f>
        <v>0</v>
      </c>
      <c r="X39" s="628" cm="1">
        <f t="array" aca="1" ref="X39" ca="1">IF(AUTOEVENTO="Manual",ROUND(SUMPRODUCT((CÁLCULO!$M$15:$M$27=EVENTOS!$C39)*(OFFSET(CÁLCULO!$AA$15:$AA$27,0,X$13))),2),0)</f>
        <v>0</v>
      </c>
      <c r="Y39" s="628" cm="1">
        <f t="array" aca="1" ref="Y39" ca="1">IF(AUTOEVENTO="Manual",ROUND(SUMPRODUCT((CÁLCULO!$M$15:$M$27=EVENTOS!$C39)*(OFFSET(CÁLCULO!$AA$15:$AA$27,0,Y$13))),2),0)</f>
        <v>0</v>
      </c>
    </row>
    <row r="40" spans="1:25" x14ac:dyDescent="0.2">
      <c r="A40" s="507" t="str">
        <f t="shared" si="3"/>
        <v/>
      </c>
      <c r="B40" t="str">
        <f t="shared" ca="1" si="4"/>
        <v/>
      </c>
      <c r="C40" s="183" t="str" cm="1">
        <f t="array" aca="1" ref="C40" ca="1">IF(OR(ROW(C40)=ROW(EVENTOS.firstrow)+1,AND(OFFSET(C40,-1,0)&lt;&gt;" ",OFFSET(C40,-1,1)&lt;&gt;"")),OFFSET(C40,-1,0)+1," ")</f>
        <v xml:space="preserve"> </v>
      </c>
      <c r="D40" s="497"/>
      <c r="E40" s="628" cm="1">
        <f t="array" aca="1" ref="E40" ca="1">IF(AUTOEVENTO="Manual",ROUND(SUMPRODUCT((CÁLCULO!$M$15:$M$27=EVENTOS!$C40)*(OFFSET(CÁLCULO!$AA$15:$AA$27,0,E$13))),2),0)</f>
        <v>0</v>
      </c>
      <c r="F40" s="184">
        <f ca="1">IF(AUTOEVENTO="Manual",ROUND(SUMPRODUCT((CÁLCULO!$M$15:$M$27=EVENTOS!$C40)*(OFFSET(CÁLCULO!$AA$15,0,1):OFFSET(CÁLCULO!$AL$27,0,-1))),2),0)</f>
        <v>0</v>
      </c>
      <c r="G40" s="629" t="str">
        <f t="shared" ca="1" si="5"/>
        <v/>
      </c>
      <c r="H40" s="628" cm="1">
        <f t="array" aca="1" ref="H40" ca="1">IF(AUTOEVENTO="Manual",ROUND(SUMPRODUCT((CÁLCULO!$M$15:$M$27=EVENTOS!$C40)*(OFFSET(CÁLCULO!$AA$15:$AA$27,0,H$13))),2),0)</f>
        <v>0</v>
      </c>
      <c r="I40" s="628" cm="1">
        <f t="array" aca="1" ref="I40" ca="1">IF(AUTOEVENTO="Manual",ROUND(SUMPRODUCT((CÁLCULO!$M$15:$M$27=EVENTOS!$C40)*(OFFSET(CÁLCULO!$AA$15:$AA$27,0,I$13))),2),0)</f>
        <v>0</v>
      </c>
      <c r="J40" s="628" cm="1">
        <f t="array" aca="1" ref="J40" ca="1">IF(AUTOEVENTO="Manual",ROUND(SUMPRODUCT((CÁLCULO!$M$15:$M$27=EVENTOS!$C40)*(OFFSET(CÁLCULO!$AA$15:$AA$27,0,J$13))),2),0)</f>
        <v>0</v>
      </c>
      <c r="K40" s="628" cm="1">
        <f t="array" aca="1" ref="K40" ca="1">IF(AUTOEVENTO="Manual",ROUND(SUMPRODUCT((CÁLCULO!$M$15:$M$27=EVENTOS!$C40)*(OFFSET(CÁLCULO!$AA$15:$AA$27,0,K$13))),2),0)</f>
        <v>0</v>
      </c>
      <c r="L40" s="628" cm="1">
        <f t="array" aca="1" ref="L40" ca="1">IF(AUTOEVENTO="Manual",ROUND(SUMPRODUCT((CÁLCULO!$M$15:$M$27=EVENTOS!$C40)*(OFFSET(CÁLCULO!$AA$15:$AA$27,0,L$13))),2),0)</f>
        <v>0</v>
      </c>
      <c r="M40" s="628" cm="1">
        <f t="array" aca="1" ref="M40" ca="1">IF(AUTOEVENTO="Manual",ROUND(SUMPRODUCT((CÁLCULO!$M$15:$M$27=EVENTOS!$C40)*(OFFSET(CÁLCULO!$AA$15:$AA$27,0,M$13))),2),0)</f>
        <v>0</v>
      </c>
      <c r="N40" s="628" cm="1">
        <f t="array" aca="1" ref="N40" ca="1">IF(AUTOEVENTO="Manual",ROUND(SUMPRODUCT((CÁLCULO!$M$15:$M$27=EVENTOS!$C40)*(OFFSET(CÁLCULO!$AA$15:$AA$27,0,N$13))),2),0)</f>
        <v>0</v>
      </c>
      <c r="O40" s="628" cm="1">
        <f t="array" aca="1" ref="O40" ca="1">IF(AUTOEVENTO="Manual",ROUND(SUMPRODUCT((CÁLCULO!$M$15:$M$27=EVENTOS!$C40)*(OFFSET(CÁLCULO!$AA$15:$AA$27,0,O$13))),2),0)</f>
        <v>0</v>
      </c>
      <c r="P40" s="628" cm="1">
        <f t="array" aca="1" ref="P40" ca="1">IF(AUTOEVENTO="Manual",ROUND(SUMPRODUCT((CÁLCULO!$M$15:$M$27=EVENTOS!$C40)*(OFFSET(CÁLCULO!$AA$15:$AA$27,0,P$13))),2),0)</f>
        <v>0</v>
      </c>
      <c r="Q40" s="628" cm="1">
        <f t="array" aca="1" ref="Q40" ca="1">IF(AUTOEVENTO="Manual",ROUND(SUMPRODUCT((CÁLCULO!$M$15:$M$27=EVENTOS!$C40)*(OFFSET(CÁLCULO!$AA$15:$AA$27,0,Q$13))),2),0)</f>
        <v>0</v>
      </c>
      <c r="R40" s="628" cm="1">
        <f t="array" aca="1" ref="R40" ca="1">IF(AUTOEVENTO="Manual",ROUND(SUMPRODUCT((CÁLCULO!$M$15:$M$27=EVENTOS!$C40)*(OFFSET(CÁLCULO!$AA$15:$AA$27,0,R$13))),2),0)</f>
        <v>0</v>
      </c>
      <c r="S40" s="628" cm="1">
        <f t="array" aca="1" ref="S40" ca="1">IF(AUTOEVENTO="Manual",ROUND(SUMPRODUCT((CÁLCULO!$M$15:$M$27=EVENTOS!$C40)*(OFFSET(CÁLCULO!$AA$15:$AA$27,0,S$13))),2),0)</f>
        <v>0</v>
      </c>
      <c r="T40" s="628" cm="1">
        <f t="array" aca="1" ref="T40" ca="1">IF(AUTOEVENTO="Manual",ROUND(SUMPRODUCT((CÁLCULO!$M$15:$M$27=EVENTOS!$C40)*(OFFSET(CÁLCULO!$AA$15:$AA$27,0,T$13))),2),0)</f>
        <v>0</v>
      </c>
      <c r="U40" s="628" cm="1">
        <f t="array" aca="1" ref="U40" ca="1">IF(AUTOEVENTO="Manual",ROUND(SUMPRODUCT((CÁLCULO!$M$15:$M$27=EVENTOS!$C40)*(OFFSET(CÁLCULO!$AA$15:$AA$27,0,U$13))),2),0)</f>
        <v>0</v>
      </c>
      <c r="V40" s="628" cm="1">
        <f t="array" aca="1" ref="V40" ca="1">IF(AUTOEVENTO="Manual",ROUND(SUMPRODUCT((CÁLCULO!$M$15:$M$27=EVENTOS!$C40)*(OFFSET(CÁLCULO!$AA$15:$AA$27,0,V$13))),2),0)</f>
        <v>0</v>
      </c>
      <c r="W40" s="628" cm="1">
        <f t="array" aca="1" ref="W40" ca="1">IF(AUTOEVENTO="Manual",ROUND(SUMPRODUCT((CÁLCULO!$M$15:$M$27=EVENTOS!$C40)*(OFFSET(CÁLCULO!$AA$15:$AA$27,0,W$13))),2),0)</f>
        <v>0</v>
      </c>
      <c r="X40" s="628" cm="1">
        <f t="array" aca="1" ref="X40" ca="1">IF(AUTOEVENTO="Manual",ROUND(SUMPRODUCT((CÁLCULO!$M$15:$M$27=EVENTOS!$C40)*(OFFSET(CÁLCULO!$AA$15:$AA$27,0,X$13))),2),0)</f>
        <v>0</v>
      </c>
      <c r="Y40" s="628" cm="1">
        <f t="array" aca="1" ref="Y40" ca="1">IF(AUTOEVENTO="Manual",ROUND(SUMPRODUCT((CÁLCULO!$M$15:$M$27=EVENTOS!$C40)*(OFFSET(CÁLCULO!$AA$15:$AA$27,0,Y$13))),2),0)</f>
        <v>0</v>
      </c>
    </row>
    <row r="41" spans="1:25" x14ac:dyDescent="0.2">
      <c r="A41" s="507" t="str">
        <f t="shared" si="3"/>
        <v/>
      </c>
      <c r="B41" t="str">
        <f t="shared" ca="1" si="4"/>
        <v/>
      </c>
      <c r="C41" s="183" t="str" cm="1">
        <f t="array" aca="1" ref="C41" ca="1">IF(OR(ROW(C41)=ROW(EVENTOS.firstrow)+1,AND(OFFSET(C41,-1,0)&lt;&gt;" ",OFFSET(C41,-1,1)&lt;&gt;"")),OFFSET(C41,-1,0)+1," ")</f>
        <v xml:space="preserve"> </v>
      </c>
      <c r="D41" s="497"/>
      <c r="E41" s="628" cm="1">
        <f t="array" aca="1" ref="E41" ca="1">IF(AUTOEVENTO="Manual",ROUND(SUMPRODUCT((CÁLCULO!$M$15:$M$27=EVENTOS!$C41)*(OFFSET(CÁLCULO!$AA$15:$AA$27,0,E$13))),2),0)</f>
        <v>0</v>
      </c>
      <c r="F41" s="184">
        <f ca="1">IF(AUTOEVENTO="Manual",ROUND(SUMPRODUCT((CÁLCULO!$M$15:$M$27=EVENTOS!$C41)*(OFFSET(CÁLCULO!$AA$15,0,1):OFFSET(CÁLCULO!$AL$27,0,-1))),2),0)</f>
        <v>0</v>
      </c>
      <c r="G41" s="629" t="str">
        <f t="shared" ca="1" si="5"/>
        <v/>
      </c>
      <c r="H41" s="628" cm="1">
        <f t="array" aca="1" ref="H41" ca="1">IF(AUTOEVENTO="Manual",ROUND(SUMPRODUCT((CÁLCULO!$M$15:$M$27=EVENTOS!$C41)*(OFFSET(CÁLCULO!$AA$15:$AA$27,0,H$13))),2),0)</f>
        <v>0</v>
      </c>
      <c r="I41" s="628" cm="1">
        <f t="array" aca="1" ref="I41" ca="1">IF(AUTOEVENTO="Manual",ROUND(SUMPRODUCT((CÁLCULO!$M$15:$M$27=EVENTOS!$C41)*(OFFSET(CÁLCULO!$AA$15:$AA$27,0,I$13))),2),0)</f>
        <v>0</v>
      </c>
      <c r="J41" s="628" cm="1">
        <f t="array" aca="1" ref="J41" ca="1">IF(AUTOEVENTO="Manual",ROUND(SUMPRODUCT((CÁLCULO!$M$15:$M$27=EVENTOS!$C41)*(OFFSET(CÁLCULO!$AA$15:$AA$27,0,J$13))),2),0)</f>
        <v>0</v>
      </c>
      <c r="K41" s="628" cm="1">
        <f t="array" aca="1" ref="K41" ca="1">IF(AUTOEVENTO="Manual",ROUND(SUMPRODUCT((CÁLCULO!$M$15:$M$27=EVENTOS!$C41)*(OFFSET(CÁLCULO!$AA$15:$AA$27,0,K$13))),2),0)</f>
        <v>0</v>
      </c>
      <c r="L41" s="628" cm="1">
        <f t="array" aca="1" ref="L41" ca="1">IF(AUTOEVENTO="Manual",ROUND(SUMPRODUCT((CÁLCULO!$M$15:$M$27=EVENTOS!$C41)*(OFFSET(CÁLCULO!$AA$15:$AA$27,0,L$13))),2),0)</f>
        <v>0</v>
      </c>
      <c r="M41" s="628" cm="1">
        <f t="array" aca="1" ref="M41" ca="1">IF(AUTOEVENTO="Manual",ROUND(SUMPRODUCT((CÁLCULO!$M$15:$M$27=EVENTOS!$C41)*(OFFSET(CÁLCULO!$AA$15:$AA$27,0,M$13))),2),0)</f>
        <v>0</v>
      </c>
      <c r="N41" s="628" cm="1">
        <f t="array" aca="1" ref="N41" ca="1">IF(AUTOEVENTO="Manual",ROUND(SUMPRODUCT((CÁLCULO!$M$15:$M$27=EVENTOS!$C41)*(OFFSET(CÁLCULO!$AA$15:$AA$27,0,N$13))),2),0)</f>
        <v>0</v>
      </c>
      <c r="O41" s="628" cm="1">
        <f t="array" aca="1" ref="O41" ca="1">IF(AUTOEVENTO="Manual",ROUND(SUMPRODUCT((CÁLCULO!$M$15:$M$27=EVENTOS!$C41)*(OFFSET(CÁLCULO!$AA$15:$AA$27,0,O$13))),2),0)</f>
        <v>0</v>
      </c>
      <c r="P41" s="628" cm="1">
        <f t="array" aca="1" ref="P41" ca="1">IF(AUTOEVENTO="Manual",ROUND(SUMPRODUCT((CÁLCULO!$M$15:$M$27=EVENTOS!$C41)*(OFFSET(CÁLCULO!$AA$15:$AA$27,0,P$13))),2),0)</f>
        <v>0</v>
      </c>
      <c r="Q41" s="628" cm="1">
        <f t="array" aca="1" ref="Q41" ca="1">IF(AUTOEVENTO="Manual",ROUND(SUMPRODUCT((CÁLCULO!$M$15:$M$27=EVENTOS!$C41)*(OFFSET(CÁLCULO!$AA$15:$AA$27,0,Q$13))),2),0)</f>
        <v>0</v>
      </c>
      <c r="R41" s="628" cm="1">
        <f t="array" aca="1" ref="R41" ca="1">IF(AUTOEVENTO="Manual",ROUND(SUMPRODUCT((CÁLCULO!$M$15:$M$27=EVENTOS!$C41)*(OFFSET(CÁLCULO!$AA$15:$AA$27,0,R$13))),2),0)</f>
        <v>0</v>
      </c>
      <c r="S41" s="628" cm="1">
        <f t="array" aca="1" ref="S41" ca="1">IF(AUTOEVENTO="Manual",ROUND(SUMPRODUCT((CÁLCULO!$M$15:$M$27=EVENTOS!$C41)*(OFFSET(CÁLCULO!$AA$15:$AA$27,0,S$13))),2),0)</f>
        <v>0</v>
      </c>
      <c r="T41" s="628" cm="1">
        <f t="array" aca="1" ref="T41" ca="1">IF(AUTOEVENTO="Manual",ROUND(SUMPRODUCT((CÁLCULO!$M$15:$M$27=EVENTOS!$C41)*(OFFSET(CÁLCULO!$AA$15:$AA$27,0,T$13))),2),0)</f>
        <v>0</v>
      </c>
      <c r="U41" s="628" cm="1">
        <f t="array" aca="1" ref="U41" ca="1">IF(AUTOEVENTO="Manual",ROUND(SUMPRODUCT((CÁLCULO!$M$15:$M$27=EVENTOS!$C41)*(OFFSET(CÁLCULO!$AA$15:$AA$27,0,U$13))),2),0)</f>
        <v>0</v>
      </c>
      <c r="V41" s="628" cm="1">
        <f t="array" aca="1" ref="V41" ca="1">IF(AUTOEVENTO="Manual",ROUND(SUMPRODUCT((CÁLCULO!$M$15:$M$27=EVENTOS!$C41)*(OFFSET(CÁLCULO!$AA$15:$AA$27,0,V$13))),2),0)</f>
        <v>0</v>
      </c>
      <c r="W41" s="628" cm="1">
        <f t="array" aca="1" ref="W41" ca="1">IF(AUTOEVENTO="Manual",ROUND(SUMPRODUCT((CÁLCULO!$M$15:$M$27=EVENTOS!$C41)*(OFFSET(CÁLCULO!$AA$15:$AA$27,0,W$13))),2),0)</f>
        <v>0</v>
      </c>
      <c r="X41" s="628" cm="1">
        <f t="array" aca="1" ref="X41" ca="1">IF(AUTOEVENTO="Manual",ROUND(SUMPRODUCT((CÁLCULO!$M$15:$M$27=EVENTOS!$C41)*(OFFSET(CÁLCULO!$AA$15:$AA$27,0,X$13))),2),0)</f>
        <v>0</v>
      </c>
      <c r="Y41" s="628" cm="1">
        <f t="array" aca="1" ref="Y41" ca="1">IF(AUTOEVENTO="Manual",ROUND(SUMPRODUCT((CÁLCULO!$M$15:$M$27=EVENTOS!$C41)*(OFFSET(CÁLCULO!$AA$15:$AA$27,0,Y$13))),2),0)</f>
        <v>0</v>
      </c>
    </row>
    <row r="42" spans="1:25" x14ac:dyDescent="0.2">
      <c r="A42" s="507" t="str">
        <f t="shared" si="3"/>
        <v/>
      </c>
      <c r="B42" t="str">
        <f t="shared" ca="1" si="4"/>
        <v/>
      </c>
      <c r="C42" s="183" t="str" cm="1">
        <f t="array" aca="1" ref="C42" ca="1">IF(OR(ROW(C42)=ROW(EVENTOS.firstrow)+1,AND(OFFSET(C42,-1,0)&lt;&gt;" ",OFFSET(C42,-1,1)&lt;&gt;"")),OFFSET(C42,-1,0)+1," ")</f>
        <v xml:space="preserve"> </v>
      </c>
      <c r="D42" s="497"/>
      <c r="E42" s="628" cm="1">
        <f t="array" aca="1" ref="E42" ca="1">IF(AUTOEVENTO="Manual",ROUND(SUMPRODUCT((CÁLCULO!$M$15:$M$27=EVENTOS!$C42)*(OFFSET(CÁLCULO!$AA$15:$AA$27,0,E$13))),2),0)</f>
        <v>0</v>
      </c>
      <c r="F42" s="184">
        <f ca="1">IF(AUTOEVENTO="Manual",ROUND(SUMPRODUCT((CÁLCULO!$M$15:$M$27=EVENTOS!$C42)*(OFFSET(CÁLCULO!$AA$15,0,1):OFFSET(CÁLCULO!$AL$27,0,-1))),2),0)</f>
        <v>0</v>
      </c>
      <c r="G42" s="629" t="str">
        <f t="shared" ca="1" si="5"/>
        <v/>
      </c>
      <c r="H42" s="628" cm="1">
        <f t="array" aca="1" ref="H42" ca="1">IF(AUTOEVENTO="Manual",ROUND(SUMPRODUCT((CÁLCULO!$M$15:$M$27=EVENTOS!$C42)*(OFFSET(CÁLCULO!$AA$15:$AA$27,0,H$13))),2),0)</f>
        <v>0</v>
      </c>
      <c r="I42" s="628" cm="1">
        <f t="array" aca="1" ref="I42" ca="1">IF(AUTOEVENTO="Manual",ROUND(SUMPRODUCT((CÁLCULO!$M$15:$M$27=EVENTOS!$C42)*(OFFSET(CÁLCULO!$AA$15:$AA$27,0,I$13))),2),0)</f>
        <v>0</v>
      </c>
      <c r="J42" s="628" cm="1">
        <f t="array" aca="1" ref="J42" ca="1">IF(AUTOEVENTO="Manual",ROUND(SUMPRODUCT((CÁLCULO!$M$15:$M$27=EVENTOS!$C42)*(OFFSET(CÁLCULO!$AA$15:$AA$27,0,J$13))),2),0)</f>
        <v>0</v>
      </c>
      <c r="K42" s="628" cm="1">
        <f t="array" aca="1" ref="K42" ca="1">IF(AUTOEVENTO="Manual",ROUND(SUMPRODUCT((CÁLCULO!$M$15:$M$27=EVENTOS!$C42)*(OFFSET(CÁLCULO!$AA$15:$AA$27,0,K$13))),2),0)</f>
        <v>0</v>
      </c>
      <c r="L42" s="628" cm="1">
        <f t="array" aca="1" ref="L42" ca="1">IF(AUTOEVENTO="Manual",ROUND(SUMPRODUCT((CÁLCULO!$M$15:$M$27=EVENTOS!$C42)*(OFFSET(CÁLCULO!$AA$15:$AA$27,0,L$13))),2),0)</f>
        <v>0</v>
      </c>
      <c r="M42" s="628" cm="1">
        <f t="array" aca="1" ref="M42" ca="1">IF(AUTOEVENTO="Manual",ROUND(SUMPRODUCT((CÁLCULO!$M$15:$M$27=EVENTOS!$C42)*(OFFSET(CÁLCULO!$AA$15:$AA$27,0,M$13))),2),0)</f>
        <v>0</v>
      </c>
      <c r="N42" s="628" cm="1">
        <f t="array" aca="1" ref="N42" ca="1">IF(AUTOEVENTO="Manual",ROUND(SUMPRODUCT((CÁLCULO!$M$15:$M$27=EVENTOS!$C42)*(OFFSET(CÁLCULO!$AA$15:$AA$27,0,N$13))),2),0)</f>
        <v>0</v>
      </c>
      <c r="O42" s="628" cm="1">
        <f t="array" aca="1" ref="O42" ca="1">IF(AUTOEVENTO="Manual",ROUND(SUMPRODUCT((CÁLCULO!$M$15:$M$27=EVENTOS!$C42)*(OFFSET(CÁLCULO!$AA$15:$AA$27,0,O$13))),2),0)</f>
        <v>0</v>
      </c>
      <c r="P42" s="628" cm="1">
        <f t="array" aca="1" ref="P42" ca="1">IF(AUTOEVENTO="Manual",ROUND(SUMPRODUCT((CÁLCULO!$M$15:$M$27=EVENTOS!$C42)*(OFFSET(CÁLCULO!$AA$15:$AA$27,0,P$13))),2),0)</f>
        <v>0</v>
      </c>
      <c r="Q42" s="628" cm="1">
        <f t="array" aca="1" ref="Q42" ca="1">IF(AUTOEVENTO="Manual",ROUND(SUMPRODUCT((CÁLCULO!$M$15:$M$27=EVENTOS!$C42)*(OFFSET(CÁLCULO!$AA$15:$AA$27,0,Q$13))),2),0)</f>
        <v>0</v>
      </c>
      <c r="R42" s="628" cm="1">
        <f t="array" aca="1" ref="R42" ca="1">IF(AUTOEVENTO="Manual",ROUND(SUMPRODUCT((CÁLCULO!$M$15:$M$27=EVENTOS!$C42)*(OFFSET(CÁLCULO!$AA$15:$AA$27,0,R$13))),2),0)</f>
        <v>0</v>
      </c>
      <c r="S42" s="628" cm="1">
        <f t="array" aca="1" ref="S42" ca="1">IF(AUTOEVENTO="Manual",ROUND(SUMPRODUCT((CÁLCULO!$M$15:$M$27=EVENTOS!$C42)*(OFFSET(CÁLCULO!$AA$15:$AA$27,0,S$13))),2),0)</f>
        <v>0</v>
      </c>
      <c r="T42" s="628" cm="1">
        <f t="array" aca="1" ref="T42" ca="1">IF(AUTOEVENTO="Manual",ROUND(SUMPRODUCT((CÁLCULO!$M$15:$M$27=EVENTOS!$C42)*(OFFSET(CÁLCULO!$AA$15:$AA$27,0,T$13))),2),0)</f>
        <v>0</v>
      </c>
      <c r="U42" s="628" cm="1">
        <f t="array" aca="1" ref="U42" ca="1">IF(AUTOEVENTO="Manual",ROUND(SUMPRODUCT((CÁLCULO!$M$15:$M$27=EVENTOS!$C42)*(OFFSET(CÁLCULO!$AA$15:$AA$27,0,U$13))),2),0)</f>
        <v>0</v>
      </c>
      <c r="V42" s="628" cm="1">
        <f t="array" aca="1" ref="V42" ca="1">IF(AUTOEVENTO="Manual",ROUND(SUMPRODUCT((CÁLCULO!$M$15:$M$27=EVENTOS!$C42)*(OFFSET(CÁLCULO!$AA$15:$AA$27,0,V$13))),2),0)</f>
        <v>0</v>
      </c>
      <c r="W42" s="628" cm="1">
        <f t="array" aca="1" ref="W42" ca="1">IF(AUTOEVENTO="Manual",ROUND(SUMPRODUCT((CÁLCULO!$M$15:$M$27=EVENTOS!$C42)*(OFFSET(CÁLCULO!$AA$15:$AA$27,0,W$13))),2),0)</f>
        <v>0</v>
      </c>
      <c r="X42" s="628" cm="1">
        <f t="array" aca="1" ref="X42" ca="1">IF(AUTOEVENTO="Manual",ROUND(SUMPRODUCT((CÁLCULO!$M$15:$M$27=EVENTOS!$C42)*(OFFSET(CÁLCULO!$AA$15:$AA$27,0,X$13))),2),0)</f>
        <v>0</v>
      </c>
      <c r="Y42" s="628" cm="1">
        <f t="array" aca="1" ref="Y42" ca="1">IF(AUTOEVENTO="Manual",ROUND(SUMPRODUCT((CÁLCULO!$M$15:$M$27=EVENTOS!$C42)*(OFFSET(CÁLCULO!$AA$15:$AA$27,0,Y$13))),2),0)</f>
        <v>0</v>
      </c>
    </row>
    <row r="43" spans="1:25" x14ac:dyDescent="0.2">
      <c r="A43" s="507" t="str">
        <f t="shared" si="3"/>
        <v/>
      </c>
      <c r="B43" t="str">
        <f t="shared" ca="1" si="4"/>
        <v/>
      </c>
      <c r="C43" s="183" t="str" cm="1">
        <f t="array" aca="1" ref="C43" ca="1">IF(OR(ROW(C43)=ROW(EVENTOS.firstrow)+1,AND(OFFSET(C43,-1,0)&lt;&gt;" ",OFFSET(C43,-1,1)&lt;&gt;"")),OFFSET(C43,-1,0)+1," ")</f>
        <v xml:space="preserve"> </v>
      </c>
      <c r="D43" s="497"/>
      <c r="E43" s="628" cm="1">
        <f t="array" aca="1" ref="E43" ca="1">IF(AUTOEVENTO="Manual",ROUND(SUMPRODUCT((CÁLCULO!$M$15:$M$27=EVENTOS!$C43)*(OFFSET(CÁLCULO!$AA$15:$AA$27,0,E$13))),2),0)</f>
        <v>0</v>
      </c>
      <c r="F43" s="184">
        <f ca="1">IF(AUTOEVENTO="Manual",ROUND(SUMPRODUCT((CÁLCULO!$M$15:$M$27=EVENTOS!$C43)*(OFFSET(CÁLCULO!$AA$15,0,1):OFFSET(CÁLCULO!$AL$27,0,-1))),2),0)</f>
        <v>0</v>
      </c>
      <c r="G43" s="629" t="str">
        <f t="shared" ca="1" si="5"/>
        <v/>
      </c>
      <c r="H43" s="628" cm="1">
        <f t="array" aca="1" ref="H43" ca="1">IF(AUTOEVENTO="Manual",ROUND(SUMPRODUCT((CÁLCULO!$M$15:$M$27=EVENTOS!$C43)*(OFFSET(CÁLCULO!$AA$15:$AA$27,0,H$13))),2),0)</f>
        <v>0</v>
      </c>
      <c r="I43" s="628" cm="1">
        <f t="array" aca="1" ref="I43" ca="1">IF(AUTOEVENTO="Manual",ROUND(SUMPRODUCT((CÁLCULO!$M$15:$M$27=EVENTOS!$C43)*(OFFSET(CÁLCULO!$AA$15:$AA$27,0,I$13))),2),0)</f>
        <v>0</v>
      </c>
      <c r="J43" s="628" cm="1">
        <f t="array" aca="1" ref="J43" ca="1">IF(AUTOEVENTO="Manual",ROUND(SUMPRODUCT((CÁLCULO!$M$15:$M$27=EVENTOS!$C43)*(OFFSET(CÁLCULO!$AA$15:$AA$27,0,J$13))),2),0)</f>
        <v>0</v>
      </c>
      <c r="K43" s="628" cm="1">
        <f t="array" aca="1" ref="K43" ca="1">IF(AUTOEVENTO="Manual",ROUND(SUMPRODUCT((CÁLCULO!$M$15:$M$27=EVENTOS!$C43)*(OFFSET(CÁLCULO!$AA$15:$AA$27,0,K$13))),2),0)</f>
        <v>0</v>
      </c>
      <c r="L43" s="628" cm="1">
        <f t="array" aca="1" ref="L43" ca="1">IF(AUTOEVENTO="Manual",ROUND(SUMPRODUCT((CÁLCULO!$M$15:$M$27=EVENTOS!$C43)*(OFFSET(CÁLCULO!$AA$15:$AA$27,0,L$13))),2),0)</f>
        <v>0</v>
      </c>
      <c r="M43" s="628" cm="1">
        <f t="array" aca="1" ref="M43" ca="1">IF(AUTOEVENTO="Manual",ROUND(SUMPRODUCT((CÁLCULO!$M$15:$M$27=EVENTOS!$C43)*(OFFSET(CÁLCULO!$AA$15:$AA$27,0,M$13))),2),0)</f>
        <v>0</v>
      </c>
      <c r="N43" s="628" cm="1">
        <f t="array" aca="1" ref="N43" ca="1">IF(AUTOEVENTO="Manual",ROUND(SUMPRODUCT((CÁLCULO!$M$15:$M$27=EVENTOS!$C43)*(OFFSET(CÁLCULO!$AA$15:$AA$27,0,N$13))),2),0)</f>
        <v>0</v>
      </c>
      <c r="O43" s="628" cm="1">
        <f t="array" aca="1" ref="O43" ca="1">IF(AUTOEVENTO="Manual",ROUND(SUMPRODUCT((CÁLCULO!$M$15:$M$27=EVENTOS!$C43)*(OFFSET(CÁLCULO!$AA$15:$AA$27,0,O$13))),2),0)</f>
        <v>0</v>
      </c>
      <c r="P43" s="628" cm="1">
        <f t="array" aca="1" ref="P43" ca="1">IF(AUTOEVENTO="Manual",ROUND(SUMPRODUCT((CÁLCULO!$M$15:$M$27=EVENTOS!$C43)*(OFFSET(CÁLCULO!$AA$15:$AA$27,0,P$13))),2),0)</f>
        <v>0</v>
      </c>
      <c r="Q43" s="628" cm="1">
        <f t="array" aca="1" ref="Q43" ca="1">IF(AUTOEVENTO="Manual",ROUND(SUMPRODUCT((CÁLCULO!$M$15:$M$27=EVENTOS!$C43)*(OFFSET(CÁLCULO!$AA$15:$AA$27,0,Q$13))),2),0)</f>
        <v>0</v>
      </c>
      <c r="R43" s="628" cm="1">
        <f t="array" aca="1" ref="R43" ca="1">IF(AUTOEVENTO="Manual",ROUND(SUMPRODUCT((CÁLCULO!$M$15:$M$27=EVENTOS!$C43)*(OFFSET(CÁLCULO!$AA$15:$AA$27,0,R$13))),2),0)</f>
        <v>0</v>
      </c>
      <c r="S43" s="628" cm="1">
        <f t="array" aca="1" ref="S43" ca="1">IF(AUTOEVENTO="Manual",ROUND(SUMPRODUCT((CÁLCULO!$M$15:$M$27=EVENTOS!$C43)*(OFFSET(CÁLCULO!$AA$15:$AA$27,0,S$13))),2),0)</f>
        <v>0</v>
      </c>
      <c r="T43" s="628" cm="1">
        <f t="array" aca="1" ref="T43" ca="1">IF(AUTOEVENTO="Manual",ROUND(SUMPRODUCT((CÁLCULO!$M$15:$M$27=EVENTOS!$C43)*(OFFSET(CÁLCULO!$AA$15:$AA$27,0,T$13))),2),0)</f>
        <v>0</v>
      </c>
      <c r="U43" s="628" cm="1">
        <f t="array" aca="1" ref="U43" ca="1">IF(AUTOEVENTO="Manual",ROUND(SUMPRODUCT((CÁLCULO!$M$15:$M$27=EVENTOS!$C43)*(OFFSET(CÁLCULO!$AA$15:$AA$27,0,U$13))),2),0)</f>
        <v>0</v>
      </c>
      <c r="V43" s="628" cm="1">
        <f t="array" aca="1" ref="V43" ca="1">IF(AUTOEVENTO="Manual",ROUND(SUMPRODUCT((CÁLCULO!$M$15:$M$27=EVENTOS!$C43)*(OFFSET(CÁLCULO!$AA$15:$AA$27,0,V$13))),2),0)</f>
        <v>0</v>
      </c>
      <c r="W43" s="628" cm="1">
        <f t="array" aca="1" ref="W43" ca="1">IF(AUTOEVENTO="Manual",ROUND(SUMPRODUCT((CÁLCULO!$M$15:$M$27=EVENTOS!$C43)*(OFFSET(CÁLCULO!$AA$15:$AA$27,0,W$13))),2),0)</f>
        <v>0</v>
      </c>
      <c r="X43" s="628" cm="1">
        <f t="array" aca="1" ref="X43" ca="1">IF(AUTOEVENTO="Manual",ROUND(SUMPRODUCT((CÁLCULO!$M$15:$M$27=EVENTOS!$C43)*(OFFSET(CÁLCULO!$AA$15:$AA$27,0,X$13))),2),0)</f>
        <v>0</v>
      </c>
      <c r="Y43" s="628" cm="1">
        <f t="array" aca="1" ref="Y43" ca="1">IF(AUTOEVENTO="Manual",ROUND(SUMPRODUCT((CÁLCULO!$M$15:$M$27=EVENTOS!$C43)*(OFFSET(CÁLCULO!$AA$15:$AA$27,0,Y$13))),2),0)</f>
        <v>0</v>
      </c>
    </row>
    <row r="44" spans="1:25" x14ac:dyDescent="0.2">
      <c r="A44" s="507" t="str">
        <f t="shared" si="3"/>
        <v/>
      </c>
      <c r="B44" t="str">
        <f t="shared" ca="1" si="4"/>
        <v/>
      </c>
      <c r="C44" s="183" t="str" cm="1">
        <f t="array" aca="1" ref="C44" ca="1">IF(OR(ROW(C44)=ROW(EVENTOS.firstrow)+1,AND(OFFSET(C44,-1,0)&lt;&gt;" ",OFFSET(C44,-1,1)&lt;&gt;"")),OFFSET(C44,-1,0)+1," ")</f>
        <v xml:space="preserve"> </v>
      </c>
      <c r="D44" s="497"/>
      <c r="E44" s="628" cm="1">
        <f t="array" aca="1" ref="E44" ca="1">IF(AUTOEVENTO="Manual",ROUND(SUMPRODUCT((CÁLCULO!$M$15:$M$27=EVENTOS!$C44)*(OFFSET(CÁLCULO!$AA$15:$AA$27,0,E$13))),2),0)</f>
        <v>0</v>
      </c>
      <c r="F44" s="184">
        <f ca="1">IF(AUTOEVENTO="Manual",ROUND(SUMPRODUCT((CÁLCULO!$M$15:$M$27=EVENTOS!$C44)*(OFFSET(CÁLCULO!$AA$15,0,1):OFFSET(CÁLCULO!$AL$27,0,-1))),2),0)</f>
        <v>0</v>
      </c>
      <c r="G44" s="629" t="str">
        <f t="shared" ca="1" si="5"/>
        <v/>
      </c>
      <c r="H44" s="628" cm="1">
        <f t="array" aca="1" ref="H44" ca="1">IF(AUTOEVENTO="Manual",ROUND(SUMPRODUCT((CÁLCULO!$M$15:$M$27=EVENTOS!$C44)*(OFFSET(CÁLCULO!$AA$15:$AA$27,0,H$13))),2),0)</f>
        <v>0</v>
      </c>
      <c r="I44" s="628" cm="1">
        <f t="array" aca="1" ref="I44" ca="1">IF(AUTOEVENTO="Manual",ROUND(SUMPRODUCT((CÁLCULO!$M$15:$M$27=EVENTOS!$C44)*(OFFSET(CÁLCULO!$AA$15:$AA$27,0,I$13))),2),0)</f>
        <v>0</v>
      </c>
      <c r="J44" s="628" cm="1">
        <f t="array" aca="1" ref="J44" ca="1">IF(AUTOEVENTO="Manual",ROUND(SUMPRODUCT((CÁLCULO!$M$15:$M$27=EVENTOS!$C44)*(OFFSET(CÁLCULO!$AA$15:$AA$27,0,J$13))),2),0)</f>
        <v>0</v>
      </c>
      <c r="K44" s="628" cm="1">
        <f t="array" aca="1" ref="K44" ca="1">IF(AUTOEVENTO="Manual",ROUND(SUMPRODUCT((CÁLCULO!$M$15:$M$27=EVENTOS!$C44)*(OFFSET(CÁLCULO!$AA$15:$AA$27,0,K$13))),2),0)</f>
        <v>0</v>
      </c>
      <c r="L44" s="628" cm="1">
        <f t="array" aca="1" ref="L44" ca="1">IF(AUTOEVENTO="Manual",ROUND(SUMPRODUCT((CÁLCULO!$M$15:$M$27=EVENTOS!$C44)*(OFFSET(CÁLCULO!$AA$15:$AA$27,0,L$13))),2),0)</f>
        <v>0</v>
      </c>
      <c r="M44" s="628" cm="1">
        <f t="array" aca="1" ref="M44" ca="1">IF(AUTOEVENTO="Manual",ROUND(SUMPRODUCT((CÁLCULO!$M$15:$M$27=EVENTOS!$C44)*(OFFSET(CÁLCULO!$AA$15:$AA$27,0,M$13))),2),0)</f>
        <v>0</v>
      </c>
      <c r="N44" s="628" cm="1">
        <f t="array" aca="1" ref="N44" ca="1">IF(AUTOEVENTO="Manual",ROUND(SUMPRODUCT((CÁLCULO!$M$15:$M$27=EVENTOS!$C44)*(OFFSET(CÁLCULO!$AA$15:$AA$27,0,N$13))),2),0)</f>
        <v>0</v>
      </c>
      <c r="O44" s="628" cm="1">
        <f t="array" aca="1" ref="O44" ca="1">IF(AUTOEVENTO="Manual",ROUND(SUMPRODUCT((CÁLCULO!$M$15:$M$27=EVENTOS!$C44)*(OFFSET(CÁLCULO!$AA$15:$AA$27,0,O$13))),2),0)</f>
        <v>0</v>
      </c>
      <c r="P44" s="628" cm="1">
        <f t="array" aca="1" ref="P44" ca="1">IF(AUTOEVENTO="Manual",ROUND(SUMPRODUCT((CÁLCULO!$M$15:$M$27=EVENTOS!$C44)*(OFFSET(CÁLCULO!$AA$15:$AA$27,0,P$13))),2),0)</f>
        <v>0</v>
      </c>
      <c r="Q44" s="628" cm="1">
        <f t="array" aca="1" ref="Q44" ca="1">IF(AUTOEVENTO="Manual",ROUND(SUMPRODUCT((CÁLCULO!$M$15:$M$27=EVENTOS!$C44)*(OFFSET(CÁLCULO!$AA$15:$AA$27,0,Q$13))),2),0)</f>
        <v>0</v>
      </c>
      <c r="R44" s="628" cm="1">
        <f t="array" aca="1" ref="R44" ca="1">IF(AUTOEVENTO="Manual",ROUND(SUMPRODUCT((CÁLCULO!$M$15:$M$27=EVENTOS!$C44)*(OFFSET(CÁLCULO!$AA$15:$AA$27,0,R$13))),2),0)</f>
        <v>0</v>
      </c>
      <c r="S44" s="628" cm="1">
        <f t="array" aca="1" ref="S44" ca="1">IF(AUTOEVENTO="Manual",ROUND(SUMPRODUCT((CÁLCULO!$M$15:$M$27=EVENTOS!$C44)*(OFFSET(CÁLCULO!$AA$15:$AA$27,0,S$13))),2),0)</f>
        <v>0</v>
      </c>
      <c r="T44" s="628" cm="1">
        <f t="array" aca="1" ref="T44" ca="1">IF(AUTOEVENTO="Manual",ROUND(SUMPRODUCT((CÁLCULO!$M$15:$M$27=EVENTOS!$C44)*(OFFSET(CÁLCULO!$AA$15:$AA$27,0,T$13))),2),0)</f>
        <v>0</v>
      </c>
      <c r="U44" s="628" cm="1">
        <f t="array" aca="1" ref="U44" ca="1">IF(AUTOEVENTO="Manual",ROUND(SUMPRODUCT((CÁLCULO!$M$15:$M$27=EVENTOS!$C44)*(OFFSET(CÁLCULO!$AA$15:$AA$27,0,U$13))),2),0)</f>
        <v>0</v>
      </c>
      <c r="V44" s="628" cm="1">
        <f t="array" aca="1" ref="V44" ca="1">IF(AUTOEVENTO="Manual",ROUND(SUMPRODUCT((CÁLCULO!$M$15:$M$27=EVENTOS!$C44)*(OFFSET(CÁLCULO!$AA$15:$AA$27,0,V$13))),2),0)</f>
        <v>0</v>
      </c>
      <c r="W44" s="628" cm="1">
        <f t="array" aca="1" ref="W44" ca="1">IF(AUTOEVENTO="Manual",ROUND(SUMPRODUCT((CÁLCULO!$M$15:$M$27=EVENTOS!$C44)*(OFFSET(CÁLCULO!$AA$15:$AA$27,0,W$13))),2),0)</f>
        <v>0</v>
      </c>
      <c r="X44" s="628" cm="1">
        <f t="array" aca="1" ref="X44" ca="1">IF(AUTOEVENTO="Manual",ROUND(SUMPRODUCT((CÁLCULO!$M$15:$M$27=EVENTOS!$C44)*(OFFSET(CÁLCULO!$AA$15:$AA$27,0,X$13))),2),0)</f>
        <v>0</v>
      </c>
      <c r="Y44" s="628" cm="1">
        <f t="array" aca="1" ref="Y44" ca="1">IF(AUTOEVENTO="Manual",ROUND(SUMPRODUCT((CÁLCULO!$M$15:$M$27=EVENTOS!$C44)*(OFFSET(CÁLCULO!$AA$15:$AA$27,0,Y$13))),2),0)</f>
        <v>0</v>
      </c>
    </row>
    <row r="45" spans="1:25" x14ac:dyDescent="0.2">
      <c r="A45" s="507" t="str">
        <f t="shared" si="3"/>
        <v/>
      </c>
      <c r="B45" t="str">
        <f t="shared" ca="1" si="4"/>
        <v/>
      </c>
      <c r="C45" s="183" t="str" cm="1">
        <f t="array" aca="1" ref="C45" ca="1">IF(OR(ROW(C45)=ROW(EVENTOS.firstrow)+1,AND(OFFSET(C45,-1,0)&lt;&gt;" ",OFFSET(C45,-1,1)&lt;&gt;"")),OFFSET(C45,-1,0)+1," ")</f>
        <v xml:space="preserve"> </v>
      </c>
      <c r="D45" s="497"/>
      <c r="E45" s="628" cm="1">
        <f t="array" aca="1" ref="E45" ca="1">IF(AUTOEVENTO="Manual",ROUND(SUMPRODUCT((CÁLCULO!$M$15:$M$27=EVENTOS!$C45)*(OFFSET(CÁLCULO!$AA$15:$AA$27,0,E$13))),2),0)</f>
        <v>0</v>
      </c>
      <c r="F45" s="184">
        <f ca="1">IF(AUTOEVENTO="Manual",ROUND(SUMPRODUCT((CÁLCULO!$M$15:$M$27=EVENTOS!$C45)*(OFFSET(CÁLCULO!$AA$15,0,1):OFFSET(CÁLCULO!$AL$27,0,-1))),2),0)</f>
        <v>0</v>
      </c>
      <c r="G45" s="629" t="str">
        <f t="shared" ca="1" si="5"/>
        <v/>
      </c>
      <c r="H45" s="628" cm="1">
        <f t="array" aca="1" ref="H45" ca="1">IF(AUTOEVENTO="Manual",ROUND(SUMPRODUCT((CÁLCULO!$M$15:$M$27=EVENTOS!$C45)*(OFFSET(CÁLCULO!$AA$15:$AA$27,0,H$13))),2),0)</f>
        <v>0</v>
      </c>
      <c r="I45" s="628" cm="1">
        <f t="array" aca="1" ref="I45" ca="1">IF(AUTOEVENTO="Manual",ROUND(SUMPRODUCT((CÁLCULO!$M$15:$M$27=EVENTOS!$C45)*(OFFSET(CÁLCULO!$AA$15:$AA$27,0,I$13))),2),0)</f>
        <v>0</v>
      </c>
      <c r="J45" s="628" cm="1">
        <f t="array" aca="1" ref="J45" ca="1">IF(AUTOEVENTO="Manual",ROUND(SUMPRODUCT((CÁLCULO!$M$15:$M$27=EVENTOS!$C45)*(OFFSET(CÁLCULO!$AA$15:$AA$27,0,J$13))),2),0)</f>
        <v>0</v>
      </c>
      <c r="K45" s="628" cm="1">
        <f t="array" aca="1" ref="K45" ca="1">IF(AUTOEVENTO="Manual",ROUND(SUMPRODUCT((CÁLCULO!$M$15:$M$27=EVENTOS!$C45)*(OFFSET(CÁLCULO!$AA$15:$AA$27,0,K$13))),2),0)</f>
        <v>0</v>
      </c>
      <c r="L45" s="628" cm="1">
        <f t="array" aca="1" ref="L45" ca="1">IF(AUTOEVENTO="Manual",ROUND(SUMPRODUCT((CÁLCULO!$M$15:$M$27=EVENTOS!$C45)*(OFFSET(CÁLCULO!$AA$15:$AA$27,0,L$13))),2),0)</f>
        <v>0</v>
      </c>
      <c r="M45" s="628" cm="1">
        <f t="array" aca="1" ref="M45" ca="1">IF(AUTOEVENTO="Manual",ROUND(SUMPRODUCT((CÁLCULO!$M$15:$M$27=EVENTOS!$C45)*(OFFSET(CÁLCULO!$AA$15:$AA$27,0,M$13))),2),0)</f>
        <v>0</v>
      </c>
      <c r="N45" s="628" cm="1">
        <f t="array" aca="1" ref="N45" ca="1">IF(AUTOEVENTO="Manual",ROUND(SUMPRODUCT((CÁLCULO!$M$15:$M$27=EVENTOS!$C45)*(OFFSET(CÁLCULO!$AA$15:$AA$27,0,N$13))),2),0)</f>
        <v>0</v>
      </c>
      <c r="O45" s="628" cm="1">
        <f t="array" aca="1" ref="O45" ca="1">IF(AUTOEVENTO="Manual",ROUND(SUMPRODUCT((CÁLCULO!$M$15:$M$27=EVENTOS!$C45)*(OFFSET(CÁLCULO!$AA$15:$AA$27,0,O$13))),2),0)</f>
        <v>0</v>
      </c>
      <c r="P45" s="628" cm="1">
        <f t="array" aca="1" ref="P45" ca="1">IF(AUTOEVENTO="Manual",ROUND(SUMPRODUCT((CÁLCULO!$M$15:$M$27=EVENTOS!$C45)*(OFFSET(CÁLCULO!$AA$15:$AA$27,0,P$13))),2),0)</f>
        <v>0</v>
      </c>
      <c r="Q45" s="628" cm="1">
        <f t="array" aca="1" ref="Q45" ca="1">IF(AUTOEVENTO="Manual",ROUND(SUMPRODUCT((CÁLCULO!$M$15:$M$27=EVENTOS!$C45)*(OFFSET(CÁLCULO!$AA$15:$AA$27,0,Q$13))),2),0)</f>
        <v>0</v>
      </c>
      <c r="R45" s="628" cm="1">
        <f t="array" aca="1" ref="R45" ca="1">IF(AUTOEVENTO="Manual",ROUND(SUMPRODUCT((CÁLCULO!$M$15:$M$27=EVENTOS!$C45)*(OFFSET(CÁLCULO!$AA$15:$AA$27,0,R$13))),2),0)</f>
        <v>0</v>
      </c>
      <c r="S45" s="628" cm="1">
        <f t="array" aca="1" ref="S45" ca="1">IF(AUTOEVENTO="Manual",ROUND(SUMPRODUCT((CÁLCULO!$M$15:$M$27=EVENTOS!$C45)*(OFFSET(CÁLCULO!$AA$15:$AA$27,0,S$13))),2),0)</f>
        <v>0</v>
      </c>
      <c r="T45" s="628" cm="1">
        <f t="array" aca="1" ref="T45" ca="1">IF(AUTOEVENTO="Manual",ROUND(SUMPRODUCT((CÁLCULO!$M$15:$M$27=EVENTOS!$C45)*(OFFSET(CÁLCULO!$AA$15:$AA$27,0,T$13))),2),0)</f>
        <v>0</v>
      </c>
      <c r="U45" s="628" cm="1">
        <f t="array" aca="1" ref="U45" ca="1">IF(AUTOEVENTO="Manual",ROUND(SUMPRODUCT((CÁLCULO!$M$15:$M$27=EVENTOS!$C45)*(OFFSET(CÁLCULO!$AA$15:$AA$27,0,U$13))),2),0)</f>
        <v>0</v>
      </c>
      <c r="V45" s="628" cm="1">
        <f t="array" aca="1" ref="V45" ca="1">IF(AUTOEVENTO="Manual",ROUND(SUMPRODUCT((CÁLCULO!$M$15:$M$27=EVENTOS!$C45)*(OFFSET(CÁLCULO!$AA$15:$AA$27,0,V$13))),2),0)</f>
        <v>0</v>
      </c>
      <c r="W45" s="628" cm="1">
        <f t="array" aca="1" ref="W45" ca="1">IF(AUTOEVENTO="Manual",ROUND(SUMPRODUCT((CÁLCULO!$M$15:$M$27=EVENTOS!$C45)*(OFFSET(CÁLCULO!$AA$15:$AA$27,0,W$13))),2),0)</f>
        <v>0</v>
      </c>
      <c r="X45" s="628" cm="1">
        <f t="array" aca="1" ref="X45" ca="1">IF(AUTOEVENTO="Manual",ROUND(SUMPRODUCT((CÁLCULO!$M$15:$M$27=EVENTOS!$C45)*(OFFSET(CÁLCULO!$AA$15:$AA$27,0,X$13))),2),0)</f>
        <v>0</v>
      </c>
      <c r="Y45" s="628" cm="1">
        <f t="array" aca="1" ref="Y45" ca="1">IF(AUTOEVENTO="Manual",ROUND(SUMPRODUCT((CÁLCULO!$M$15:$M$27=EVENTOS!$C45)*(OFFSET(CÁLCULO!$AA$15:$AA$27,0,Y$13))),2),0)</f>
        <v>0</v>
      </c>
    </row>
    <row r="46" spans="1:25" x14ac:dyDescent="0.2">
      <c r="A46" s="507" t="str">
        <f t="shared" si="3"/>
        <v/>
      </c>
      <c r="B46" t="str">
        <f t="shared" ca="1" si="4"/>
        <v/>
      </c>
      <c r="C46" s="183" t="str" cm="1">
        <f t="array" aca="1" ref="C46" ca="1">IF(OR(ROW(C46)=ROW(EVENTOS.firstrow)+1,AND(OFFSET(C46,-1,0)&lt;&gt;" ",OFFSET(C46,-1,1)&lt;&gt;"")),OFFSET(C46,-1,0)+1," ")</f>
        <v xml:space="preserve"> </v>
      </c>
      <c r="D46" s="497"/>
      <c r="E46" s="628" cm="1">
        <f t="array" aca="1" ref="E46" ca="1">IF(AUTOEVENTO="Manual",ROUND(SUMPRODUCT((CÁLCULO!$M$15:$M$27=EVENTOS!$C46)*(OFFSET(CÁLCULO!$AA$15:$AA$27,0,E$13))),2),0)</f>
        <v>0</v>
      </c>
      <c r="F46" s="184">
        <f ca="1">IF(AUTOEVENTO="Manual",ROUND(SUMPRODUCT((CÁLCULO!$M$15:$M$27=EVENTOS!$C46)*(OFFSET(CÁLCULO!$AA$15,0,1):OFFSET(CÁLCULO!$AL$27,0,-1))),2),0)</f>
        <v>0</v>
      </c>
      <c r="G46" s="629" t="str">
        <f t="shared" ca="1" si="5"/>
        <v/>
      </c>
      <c r="H46" s="628" cm="1">
        <f t="array" aca="1" ref="H46" ca="1">IF(AUTOEVENTO="Manual",ROUND(SUMPRODUCT((CÁLCULO!$M$15:$M$27=EVENTOS!$C46)*(OFFSET(CÁLCULO!$AA$15:$AA$27,0,H$13))),2),0)</f>
        <v>0</v>
      </c>
      <c r="I46" s="628" cm="1">
        <f t="array" aca="1" ref="I46" ca="1">IF(AUTOEVENTO="Manual",ROUND(SUMPRODUCT((CÁLCULO!$M$15:$M$27=EVENTOS!$C46)*(OFFSET(CÁLCULO!$AA$15:$AA$27,0,I$13))),2),0)</f>
        <v>0</v>
      </c>
      <c r="J46" s="628" cm="1">
        <f t="array" aca="1" ref="J46" ca="1">IF(AUTOEVENTO="Manual",ROUND(SUMPRODUCT((CÁLCULO!$M$15:$M$27=EVENTOS!$C46)*(OFFSET(CÁLCULO!$AA$15:$AA$27,0,J$13))),2),0)</f>
        <v>0</v>
      </c>
      <c r="K46" s="628" cm="1">
        <f t="array" aca="1" ref="K46" ca="1">IF(AUTOEVENTO="Manual",ROUND(SUMPRODUCT((CÁLCULO!$M$15:$M$27=EVENTOS!$C46)*(OFFSET(CÁLCULO!$AA$15:$AA$27,0,K$13))),2),0)</f>
        <v>0</v>
      </c>
      <c r="L46" s="628" cm="1">
        <f t="array" aca="1" ref="L46" ca="1">IF(AUTOEVENTO="Manual",ROUND(SUMPRODUCT((CÁLCULO!$M$15:$M$27=EVENTOS!$C46)*(OFFSET(CÁLCULO!$AA$15:$AA$27,0,L$13))),2),0)</f>
        <v>0</v>
      </c>
      <c r="M46" s="628" cm="1">
        <f t="array" aca="1" ref="M46" ca="1">IF(AUTOEVENTO="Manual",ROUND(SUMPRODUCT((CÁLCULO!$M$15:$M$27=EVENTOS!$C46)*(OFFSET(CÁLCULO!$AA$15:$AA$27,0,M$13))),2),0)</f>
        <v>0</v>
      </c>
      <c r="N46" s="628" cm="1">
        <f t="array" aca="1" ref="N46" ca="1">IF(AUTOEVENTO="Manual",ROUND(SUMPRODUCT((CÁLCULO!$M$15:$M$27=EVENTOS!$C46)*(OFFSET(CÁLCULO!$AA$15:$AA$27,0,N$13))),2),0)</f>
        <v>0</v>
      </c>
      <c r="O46" s="628" cm="1">
        <f t="array" aca="1" ref="O46" ca="1">IF(AUTOEVENTO="Manual",ROUND(SUMPRODUCT((CÁLCULO!$M$15:$M$27=EVENTOS!$C46)*(OFFSET(CÁLCULO!$AA$15:$AA$27,0,O$13))),2),0)</f>
        <v>0</v>
      </c>
      <c r="P46" s="628" cm="1">
        <f t="array" aca="1" ref="P46" ca="1">IF(AUTOEVENTO="Manual",ROUND(SUMPRODUCT((CÁLCULO!$M$15:$M$27=EVENTOS!$C46)*(OFFSET(CÁLCULO!$AA$15:$AA$27,0,P$13))),2),0)</f>
        <v>0</v>
      </c>
      <c r="Q46" s="628" cm="1">
        <f t="array" aca="1" ref="Q46" ca="1">IF(AUTOEVENTO="Manual",ROUND(SUMPRODUCT((CÁLCULO!$M$15:$M$27=EVENTOS!$C46)*(OFFSET(CÁLCULO!$AA$15:$AA$27,0,Q$13))),2),0)</f>
        <v>0</v>
      </c>
      <c r="R46" s="628" cm="1">
        <f t="array" aca="1" ref="R46" ca="1">IF(AUTOEVENTO="Manual",ROUND(SUMPRODUCT((CÁLCULO!$M$15:$M$27=EVENTOS!$C46)*(OFFSET(CÁLCULO!$AA$15:$AA$27,0,R$13))),2),0)</f>
        <v>0</v>
      </c>
      <c r="S46" s="628" cm="1">
        <f t="array" aca="1" ref="S46" ca="1">IF(AUTOEVENTO="Manual",ROUND(SUMPRODUCT((CÁLCULO!$M$15:$M$27=EVENTOS!$C46)*(OFFSET(CÁLCULO!$AA$15:$AA$27,0,S$13))),2),0)</f>
        <v>0</v>
      </c>
      <c r="T46" s="628" cm="1">
        <f t="array" aca="1" ref="T46" ca="1">IF(AUTOEVENTO="Manual",ROUND(SUMPRODUCT((CÁLCULO!$M$15:$M$27=EVENTOS!$C46)*(OFFSET(CÁLCULO!$AA$15:$AA$27,0,T$13))),2),0)</f>
        <v>0</v>
      </c>
      <c r="U46" s="628" cm="1">
        <f t="array" aca="1" ref="U46" ca="1">IF(AUTOEVENTO="Manual",ROUND(SUMPRODUCT((CÁLCULO!$M$15:$M$27=EVENTOS!$C46)*(OFFSET(CÁLCULO!$AA$15:$AA$27,0,U$13))),2),0)</f>
        <v>0</v>
      </c>
      <c r="V46" s="628" cm="1">
        <f t="array" aca="1" ref="V46" ca="1">IF(AUTOEVENTO="Manual",ROUND(SUMPRODUCT((CÁLCULO!$M$15:$M$27=EVENTOS!$C46)*(OFFSET(CÁLCULO!$AA$15:$AA$27,0,V$13))),2),0)</f>
        <v>0</v>
      </c>
      <c r="W46" s="628" cm="1">
        <f t="array" aca="1" ref="W46" ca="1">IF(AUTOEVENTO="Manual",ROUND(SUMPRODUCT((CÁLCULO!$M$15:$M$27=EVENTOS!$C46)*(OFFSET(CÁLCULO!$AA$15:$AA$27,0,W$13))),2),0)</f>
        <v>0</v>
      </c>
      <c r="X46" s="628" cm="1">
        <f t="array" aca="1" ref="X46" ca="1">IF(AUTOEVENTO="Manual",ROUND(SUMPRODUCT((CÁLCULO!$M$15:$M$27=EVENTOS!$C46)*(OFFSET(CÁLCULO!$AA$15:$AA$27,0,X$13))),2),0)</f>
        <v>0</v>
      </c>
      <c r="Y46" s="628" cm="1">
        <f t="array" aca="1" ref="Y46" ca="1">IF(AUTOEVENTO="Manual",ROUND(SUMPRODUCT((CÁLCULO!$M$15:$M$27=EVENTOS!$C46)*(OFFSET(CÁLCULO!$AA$15:$AA$27,0,Y$13))),2),0)</f>
        <v>0</v>
      </c>
    </row>
    <row r="47" spans="1:25" x14ac:dyDescent="0.2">
      <c r="A47" s="507" t="str">
        <f t="shared" si="3"/>
        <v/>
      </c>
      <c r="B47" t="str">
        <f t="shared" ca="1" si="4"/>
        <v/>
      </c>
      <c r="C47" s="183" t="str" cm="1">
        <f t="array" aca="1" ref="C47" ca="1">IF(OR(ROW(C47)=ROW(EVENTOS.firstrow)+1,AND(OFFSET(C47,-1,0)&lt;&gt;" ",OFFSET(C47,-1,1)&lt;&gt;"")),OFFSET(C47,-1,0)+1," ")</f>
        <v xml:space="preserve"> </v>
      </c>
      <c r="D47" s="497"/>
      <c r="E47" s="628" cm="1">
        <f t="array" aca="1" ref="E47" ca="1">IF(AUTOEVENTO="Manual",ROUND(SUMPRODUCT((CÁLCULO!$M$15:$M$27=EVENTOS!$C47)*(OFFSET(CÁLCULO!$AA$15:$AA$27,0,E$13))),2),0)</f>
        <v>0</v>
      </c>
      <c r="F47" s="184">
        <f ca="1">IF(AUTOEVENTO="Manual",ROUND(SUMPRODUCT((CÁLCULO!$M$15:$M$27=EVENTOS!$C47)*(OFFSET(CÁLCULO!$AA$15,0,1):OFFSET(CÁLCULO!$AL$27,0,-1))),2),0)</f>
        <v>0</v>
      </c>
      <c r="G47" s="629" t="str">
        <f t="shared" ca="1" si="5"/>
        <v/>
      </c>
      <c r="H47" s="628" cm="1">
        <f t="array" aca="1" ref="H47" ca="1">IF(AUTOEVENTO="Manual",ROUND(SUMPRODUCT((CÁLCULO!$M$15:$M$27=EVENTOS!$C47)*(OFFSET(CÁLCULO!$AA$15:$AA$27,0,H$13))),2),0)</f>
        <v>0</v>
      </c>
      <c r="I47" s="628" cm="1">
        <f t="array" aca="1" ref="I47" ca="1">IF(AUTOEVENTO="Manual",ROUND(SUMPRODUCT((CÁLCULO!$M$15:$M$27=EVENTOS!$C47)*(OFFSET(CÁLCULO!$AA$15:$AA$27,0,I$13))),2),0)</f>
        <v>0</v>
      </c>
      <c r="J47" s="628" cm="1">
        <f t="array" aca="1" ref="J47" ca="1">IF(AUTOEVENTO="Manual",ROUND(SUMPRODUCT((CÁLCULO!$M$15:$M$27=EVENTOS!$C47)*(OFFSET(CÁLCULO!$AA$15:$AA$27,0,J$13))),2),0)</f>
        <v>0</v>
      </c>
      <c r="K47" s="628" cm="1">
        <f t="array" aca="1" ref="K47" ca="1">IF(AUTOEVENTO="Manual",ROUND(SUMPRODUCT((CÁLCULO!$M$15:$M$27=EVENTOS!$C47)*(OFFSET(CÁLCULO!$AA$15:$AA$27,0,K$13))),2),0)</f>
        <v>0</v>
      </c>
      <c r="L47" s="628" cm="1">
        <f t="array" aca="1" ref="L47" ca="1">IF(AUTOEVENTO="Manual",ROUND(SUMPRODUCT((CÁLCULO!$M$15:$M$27=EVENTOS!$C47)*(OFFSET(CÁLCULO!$AA$15:$AA$27,0,L$13))),2),0)</f>
        <v>0</v>
      </c>
      <c r="M47" s="628" cm="1">
        <f t="array" aca="1" ref="M47" ca="1">IF(AUTOEVENTO="Manual",ROUND(SUMPRODUCT((CÁLCULO!$M$15:$M$27=EVENTOS!$C47)*(OFFSET(CÁLCULO!$AA$15:$AA$27,0,M$13))),2),0)</f>
        <v>0</v>
      </c>
      <c r="N47" s="628" cm="1">
        <f t="array" aca="1" ref="N47" ca="1">IF(AUTOEVENTO="Manual",ROUND(SUMPRODUCT((CÁLCULO!$M$15:$M$27=EVENTOS!$C47)*(OFFSET(CÁLCULO!$AA$15:$AA$27,0,N$13))),2),0)</f>
        <v>0</v>
      </c>
      <c r="O47" s="628" cm="1">
        <f t="array" aca="1" ref="O47" ca="1">IF(AUTOEVENTO="Manual",ROUND(SUMPRODUCT((CÁLCULO!$M$15:$M$27=EVENTOS!$C47)*(OFFSET(CÁLCULO!$AA$15:$AA$27,0,O$13))),2),0)</f>
        <v>0</v>
      </c>
      <c r="P47" s="628" cm="1">
        <f t="array" aca="1" ref="P47" ca="1">IF(AUTOEVENTO="Manual",ROUND(SUMPRODUCT((CÁLCULO!$M$15:$M$27=EVENTOS!$C47)*(OFFSET(CÁLCULO!$AA$15:$AA$27,0,P$13))),2),0)</f>
        <v>0</v>
      </c>
      <c r="Q47" s="628" cm="1">
        <f t="array" aca="1" ref="Q47" ca="1">IF(AUTOEVENTO="Manual",ROUND(SUMPRODUCT((CÁLCULO!$M$15:$M$27=EVENTOS!$C47)*(OFFSET(CÁLCULO!$AA$15:$AA$27,0,Q$13))),2),0)</f>
        <v>0</v>
      </c>
      <c r="R47" s="628" cm="1">
        <f t="array" aca="1" ref="R47" ca="1">IF(AUTOEVENTO="Manual",ROUND(SUMPRODUCT((CÁLCULO!$M$15:$M$27=EVENTOS!$C47)*(OFFSET(CÁLCULO!$AA$15:$AA$27,0,R$13))),2),0)</f>
        <v>0</v>
      </c>
      <c r="S47" s="628" cm="1">
        <f t="array" aca="1" ref="S47" ca="1">IF(AUTOEVENTO="Manual",ROUND(SUMPRODUCT((CÁLCULO!$M$15:$M$27=EVENTOS!$C47)*(OFFSET(CÁLCULO!$AA$15:$AA$27,0,S$13))),2),0)</f>
        <v>0</v>
      </c>
      <c r="T47" s="628" cm="1">
        <f t="array" aca="1" ref="T47" ca="1">IF(AUTOEVENTO="Manual",ROUND(SUMPRODUCT((CÁLCULO!$M$15:$M$27=EVENTOS!$C47)*(OFFSET(CÁLCULO!$AA$15:$AA$27,0,T$13))),2),0)</f>
        <v>0</v>
      </c>
      <c r="U47" s="628" cm="1">
        <f t="array" aca="1" ref="U47" ca="1">IF(AUTOEVENTO="Manual",ROUND(SUMPRODUCT((CÁLCULO!$M$15:$M$27=EVENTOS!$C47)*(OFFSET(CÁLCULO!$AA$15:$AA$27,0,U$13))),2),0)</f>
        <v>0</v>
      </c>
      <c r="V47" s="628" cm="1">
        <f t="array" aca="1" ref="V47" ca="1">IF(AUTOEVENTO="Manual",ROUND(SUMPRODUCT((CÁLCULO!$M$15:$M$27=EVENTOS!$C47)*(OFFSET(CÁLCULO!$AA$15:$AA$27,0,V$13))),2),0)</f>
        <v>0</v>
      </c>
      <c r="W47" s="628" cm="1">
        <f t="array" aca="1" ref="W47" ca="1">IF(AUTOEVENTO="Manual",ROUND(SUMPRODUCT((CÁLCULO!$M$15:$M$27=EVENTOS!$C47)*(OFFSET(CÁLCULO!$AA$15:$AA$27,0,W$13))),2),0)</f>
        <v>0</v>
      </c>
      <c r="X47" s="628" cm="1">
        <f t="array" aca="1" ref="X47" ca="1">IF(AUTOEVENTO="Manual",ROUND(SUMPRODUCT((CÁLCULO!$M$15:$M$27=EVENTOS!$C47)*(OFFSET(CÁLCULO!$AA$15:$AA$27,0,X$13))),2),0)</f>
        <v>0</v>
      </c>
      <c r="Y47" s="628" cm="1">
        <f t="array" aca="1" ref="Y47" ca="1">IF(AUTOEVENTO="Manual",ROUND(SUMPRODUCT((CÁLCULO!$M$15:$M$27=EVENTOS!$C47)*(OFFSET(CÁLCULO!$AA$15:$AA$27,0,Y$13))),2),0)</f>
        <v>0</v>
      </c>
    </row>
    <row r="48" spans="1:25" x14ac:dyDescent="0.2">
      <c r="A48" s="507" t="str">
        <f t="shared" si="3"/>
        <v/>
      </c>
      <c r="B48" t="str">
        <f t="shared" ca="1" si="4"/>
        <v/>
      </c>
      <c r="C48" s="183" t="str" cm="1">
        <f t="array" aca="1" ref="C48" ca="1">IF(OR(ROW(C48)=ROW(EVENTOS.firstrow)+1,AND(OFFSET(C48,-1,0)&lt;&gt;" ",OFFSET(C48,-1,1)&lt;&gt;"")),OFFSET(C48,-1,0)+1," ")</f>
        <v xml:space="preserve"> </v>
      </c>
      <c r="D48" s="497"/>
      <c r="E48" s="628" cm="1">
        <f t="array" aca="1" ref="E48" ca="1">IF(AUTOEVENTO="Manual",ROUND(SUMPRODUCT((CÁLCULO!$M$15:$M$27=EVENTOS!$C48)*(OFFSET(CÁLCULO!$AA$15:$AA$27,0,E$13))),2),0)</f>
        <v>0</v>
      </c>
      <c r="F48" s="184">
        <f ca="1">IF(AUTOEVENTO="Manual",ROUND(SUMPRODUCT((CÁLCULO!$M$15:$M$27=EVENTOS!$C48)*(OFFSET(CÁLCULO!$AA$15,0,1):OFFSET(CÁLCULO!$AL$27,0,-1))),2),0)</f>
        <v>0</v>
      </c>
      <c r="G48" s="629" t="str">
        <f t="shared" ref="G48:G64" ca="1" si="6">IF(AND(D48=0,F48&gt;0),"NOME",
 IF(AND(D48&lt;&gt;0,$F$14&gt;0,F48=0),"VALOR",
 IF(AND(Import.TipoArredondamento="TransfereGOV",$A48="F",LEN(D48)&gt;100),"Nome &gt;100","")))</f>
        <v/>
      </c>
      <c r="H48" s="628" cm="1">
        <f t="array" aca="1" ref="H48" ca="1">IF(AUTOEVENTO="Manual",ROUND(SUMPRODUCT((CÁLCULO!$M$15:$M$27=EVENTOS!$C48)*(OFFSET(CÁLCULO!$AA$15:$AA$27,0,H$13))),2),0)</f>
        <v>0</v>
      </c>
      <c r="I48" s="628" cm="1">
        <f t="array" aca="1" ref="I48" ca="1">IF(AUTOEVENTO="Manual",ROUND(SUMPRODUCT((CÁLCULO!$M$15:$M$27=EVENTOS!$C48)*(OFFSET(CÁLCULO!$AA$15:$AA$27,0,I$13))),2),0)</f>
        <v>0</v>
      </c>
      <c r="J48" s="628" cm="1">
        <f t="array" aca="1" ref="J48" ca="1">IF(AUTOEVENTO="Manual",ROUND(SUMPRODUCT((CÁLCULO!$M$15:$M$27=EVENTOS!$C48)*(OFFSET(CÁLCULO!$AA$15:$AA$27,0,J$13))),2),0)</f>
        <v>0</v>
      </c>
      <c r="K48" s="628" cm="1">
        <f t="array" aca="1" ref="K48" ca="1">IF(AUTOEVENTO="Manual",ROUND(SUMPRODUCT((CÁLCULO!$M$15:$M$27=EVENTOS!$C48)*(OFFSET(CÁLCULO!$AA$15:$AA$27,0,K$13))),2),0)</f>
        <v>0</v>
      </c>
      <c r="L48" s="628" cm="1">
        <f t="array" aca="1" ref="L48" ca="1">IF(AUTOEVENTO="Manual",ROUND(SUMPRODUCT((CÁLCULO!$M$15:$M$27=EVENTOS!$C48)*(OFFSET(CÁLCULO!$AA$15:$AA$27,0,L$13))),2),0)</f>
        <v>0</v>
      </c>
      <c r="M48" s="628" cm="1">
        <f t="array" aca="1" ref="M48" ca="1">IF(AUTOEVENTO="Manual",ROUND(SUMPRODUCT((CÁLCULO!$M$15:$M$27=EVENTOS!$C48)*(OFFSET(CÁLCULO!$AA$15:$AA$27,0,M$13))),2),0)</f>
        <v>0</v>
      </c>
      <c r="N48" s="628" cm="1">
        <f t="array" aca="1" ref="N48" ca="1">IF(AUTOEVENTO="Manual",ROUND(SUMPRODUCT((CÁLCULO!$M$15:$M$27=EVENTOS!$C48)*(OFFSET(CÁLCULO!$AA$15:$AA$27,0,N$13))),2),0)</f>
        <v>0</v>
      </c>
      <c r="O48" s="628" cm="1">
        <f t="array" aca="1" ref="O48" ca="1">IF(AUTOEVENTO="Manual",ROUND(SUMPRODUCT((CÁLCULO!$M$15:$M$27=EVENTOS!$C48)*(OFFSET(CÁLCULO!$AA$15:$AA$27,0,O$13))),2),0)</f>
        <v>0</v>
      </c>
      <c r="P48" s="628" cm="1">
        <f t="array" aca="1" ref="P48" ca="1">IF(AUTOEVENTO="Manual",ROUND(SUMPRODUCT((CÁLCULO!$M$15:$M$27=EVENTOS!$C48)*(OFFSET(CÁLCULO!$AA$15:$AA$27,0,P$13))),2),0)</f>
        <v>0</v>
      </c>
      <c r="Q48" s="628" cm="1">
        <f t="array" aca="1" ref="Q48" ca="1">IF(AUTOEVENTO="Manual",ROUND(SUMPRODUCT((CÁLCULO!$M$15:$M$27=EVENTOS!$C48)*(OFFSET(CÁLCULO!$AA$15:$AA$27,0,Q$13))),2),0)</f>
        <v>0</v>
      </c>
      <c r="R48" s="628" cm="1">
        <f t="array" aca="1" ref="R48" ca="1">IF(AUTOEVENTO="Manual",ROUND(SUMPRODUCT((CÁLCULO!$M$15:$M$27=EVENTOS!$C48)*(OFFSET(CÁLCULO!$AA$15:$AA$27,0,R$13))),2),0)</f>
        <v>0</v>
      </c>
      <c r="S48" s="628" cm="1">
        <f t="array" aca="1" ref="S48" ca="1">IF(AUTOEVENTO="Manual",ROUND(SUMPRODUCT((CÁLCULO!$M$15:$M$27=EVENTOS!$C48)*(OFFSET(CÁLCULO!$AA$15:$AA$27,0,S$13))),2),0)</f>
        <v>0</v>
      </c>
      <c r="T48" s="628" cm="1">
        <f t="array" aca="1" ref="T48" ca="1">IF(AUTOEVENTO="Manual",ROUND(SUMPRODUCT((CÁLCULO!$M$15:$M$27=EVENTOS!$C48)*(OFFSET(CÁLCULO!$AA$15:$AA$27,0,T$13))),2),0)</f>
        <v>0</v>
      </c>
      <c r="U48" s="628" cm="1">
        <f t="array" aca="1" ref="U48" ca="1">IF(AUTOEVENTO="Manual",ROUND(SUMPRODUCT((CÁLCULO!$M$15:$M$27=EVENTOS!$C48)*(OFFSET(CÁLCULO!$AA$15:$AA$27,0,U$13))),2),0)</f>
        <v>0</v>
      </c>
      <c r="V48" s="628" cm="1">
        <f t="array" aca="1" ref="V48" ca="1">IF(AUTOEVENTO="Manual",ROUND(SUMPRODUCT((CÁLCULO!$M$15:$M$27=EVENTOS!$C48)*(OFFSET(CÁLCULO!$AA$15:$AA$27,0,V$13))),2),0)</f>
        <v>0</v>
      </c>
      <c r="W48" s="628" cm="1">
        <f t="array" aca="1" ref="W48" ca="1">IF(AUTOEVENTO="Manual",ROUND(SUMPRODUCT((CÁLCULO!$M$15:$M$27=EVENTOS!$C48)*(OFFSET(CÁLCULO!$AA$15:$AA$27,0,W$13))),2),0)</f>
        <v>0</v>
      </c>
      <c r="X48" s="628" cm="1">
        <f t="array" aca="1" ref="X48" ca="1">IF(AUTOEVENTO="Manual",ROUND(SUMPRODUCT((CÁLCULO!$M$15:$M$27=EVENTOS!$C48)*(OFFSET(CÁLCULO!$AA$15:$AA$27,0,X$13))),2),0)</f>
        <v>0</v>
      </c>
      <c r="Y48" s="628" cm="1">
        <f t="array" aca="1" ref="Y48" ca="1">IF(AUTOEVENTO="Manual",ROUND(SUMPRODUCT((CÁLCULO!$M$15:$M$27=EVENTOS!$C48)*(OFFSET(CÁLCULO!$AA$15:$AA$27,0,Y$13))),2),0)</f>
        <v>0</v>
      </c>
    </row>
    <row r="49" spans="1:25" x14ac:dyDescent="0.2">
      <c r="A49" s="507" t="str">
        <f t="shared" si="3"/>
        <v/>
      </c>
      <c r="B49" t="str">
        <f t="shared" ca="1" si="4"/>
        <v/>
      </c>
      <c r="C49" s="183" t="str" cm="1">
        <f t="array" aca="1" ref="C49" ca="1">IF(OR(ROW(C49)=ROW(EVENTOS.firstrow)+1,AND(OFFSET(C49,-1,0)&lt;&gt;" ",OFFSET(C49,-1,1)&lt;&gt;"")),OFFSET(C49,-1,0)+1," ")</f>
        <v xml:space="preserve"> </v>
      </c>
      <c r="D49" s="497"/>
      <c r="E49" s="628" cm="1">
        <f t="array" aca="1" ref="E49" ca="1">IF(AUTOEVENTO="Manual",ROUND(SUMPRODUCT((CÁLCULO!$M$15:$M$27=EVENTOS!$C49)*(OFFSET(CÁLCULO!$AA$15:$AA$27,0,E$13))),2),0)</f>
        <v>0</v>
      </c>
      <c r="F49" s="184">
        <f ca="1">IF(AUTOEVENTO="Manual",ROUND(SUMPRODUCT((CÁLCULO!$M$15:$M$27=EVENTOS!$C49)*(OFFSET(CÁLCULO!$AA$15,0,1):OFFSET(CÁLCULO!$AL$27,0,-1))),2),0)</f>
        <v>0</v>
      </c>
      <c r="G49" s="629" t="str">
        <f t="shared" ca="1" si="6"/>
        <v/>
      </c>
      <c r="H49" s="628" cm="1">
        <f t="array" aca="1" ref="H49" ca="1">IF(AUTOEVENTO="Manual",ROUND(SUMPRODUCT((CÁLCULO!$M$15:$M$27=EVENTOS!$C49)*(OFFSET(CÁLCULO!$AA$15:$AA$27,0,H$13))),2),0)</f>
        <v>0</v>
      </c>
      <c r="I49" s="628" cm="1">
        <f t="array" aca="1" ref="I49" ca="1">IF(AUTOEVENTO="Manual",ROUND(SUMPRODUCT((CÁLCULO!$M$15:$M$27=EVENTOS!$C49)*(OFFSET(CÁLCULO!$AA$15:$AA$27,0,I$13))),2),0)</f>
        <v>0</v>
      </c>
      <c r="J49" s="628" cm="1">
        <f t="array" aca="1" ref="J49" ca="1">IF(AUTOEVENTO="Manual",ROUND(SUMPRODUCT((CÁLCULO!$M$15:$M$27=EVENTOS!$C49)*(OFFSET(CÁLCULO!$AA$15:$AA$27,0,J$13))),2),0)</f>
        <v>0</v>
      </c>
      <c r="K49" s="628" cm="1">
        <f t="array" aca="1" ref="K49" ca="1">IF(AUTOEVENTO="Manual",ROUND(SUMPRODUCT((CÁLCULO!$M$15:$M$27=EVENTOS!$C49)*(OFFSET(CÁLCULO!$AA$15:$AA$27,0,K$13))),2),0)</f>
        <v>0</v>
      </c>
      <c r="L49" s="628" cm="1">
        <f t="array" aca="1" ref="L49" ca="1">IF(AUTOEVENTO="Manual",ROUND(SUMPRODUCT((CÁLCULO!$M$15:$M$27=EVENTOS!$C49)*(OFFSET(CÁLCULO!$AA$15:$AA$27,0,L$13))),2),0)</f>
        <v>0</v>
      </c>
      <c r="M49" s="628" cm="1">
        <f t="array" aca="1" ref="M49" ca="1">IF(AUTOEVENTO="Manual",ROUND(SUMPRODUCT((CÁLCULO!$M$15:$M$27=EVENTOS!$C49)*(OFFSET(CÁLCULO!$AA$15:$AA$27,0,M$13))),2),0)</f>
        <v>0</v>
      </c>
      <c r="N49" s="628" cm="1">
        <f t="array" aca="1" ref="N49" ca="1">IF(AUTOEVENTO="Manual",ROUND(SUMPRODUCT((CÁLCULO!$M$15:$M$27=EVENTOS!$C49)*(OFFSET(CÁLCULO!$AA$15:$AA$27,0,N$13))),2),0)</f>
        <v>0</v>
      </c>
      <c r="O49" s="628" cm="1">
        <f t="array" aca="1" ref="O49" ca="1">IF(AUTOEVENTO="Manual",ROUND(SUMPRODUCT((CÁLCULO!$M$15:$M$27=EVENTOS!$C49)*(OFFSET(CÁLCULO!$AA$15:$AA$27,0,O$13))),2),0)</f>
        <v>0</v>
      </c>
      <c r="P49" s="628" cm="1">
        <f t="array" aca="1" ref="P49" ca="1">IF(AUTOEVENTO="Manual",ROUND(SUMPRODUCT((CÁLCULO!$M$15:$M$27=EVENTOS!$C49)*(OFFSET(CÁLCULO!$AA$15:$AA$27,0,P$13))),2),0)</f>
        <v>0</v>
      </c>
      <c r="Q49" s="628" cm="1">
        <f t="array" aca="1" ref="Q49" ca="1">IF(AUTOEVENTO="Manual",ROUND(SUMPRODUCT((CÁLCULO!$M$15:$M$27=EVENTOS!$C49)*(OFFSET(CÁLCULO!$AA$15:$AA$27,0,Q$13))),2),0)</f>
        <v>0</v>
      </c>
      <c r="R49" s="628" cm="1">
        <f t="array" aca="1" ref="R49" ca="1">IF(AUTOEVENTO="Manual",ROUND(SUMPRODUCT((CÁLCULO!$M$15:$M$27=EVENTOS!$C49)*(OFFSET(CÁLCULO!$AA$15:$AA$27,0,R$13))),2),0)</f>
        <v>0</v>
      </c>
      <c r="S49" s="628" cm="1">
        <f t="array" aca="1" ref="S49" ca="1">IF(AUTOEVENTO="Manual",ROUND(SUMPRODUCT((CÁLCULO!$M$15:$M$27=EVENTOS!$C49)*(OFFSET(CÁLCULO!$AA$15:$AA$27,0,S$13))),2),0)</f>
        <v>0</v>
      </c>
      <c r="T49" s="628" cm="1">
        <f t="array" aca="1" ref="T49" ca="1">IF(AUTOEVENTO="Manual",ROUND(SUMPRODUCT((CÁLCULO!$M$15:$M$27=EVENTOS!$C49)*(OFFSET(CÁLCULO!$AA$15:$AA$27,0,T$13))),2),0)</f>
        <v>0</v>
      </c>
      <c r="U49" s="628" cm="1">
        <f t="array" aca="1" ref="U49" ca="1">IF(AUTOEVENTO="Manual",ROUND(SUMPRODUCT((CÁLCULO!$M$15:$M$27=EVENTOS!$C49)*(OFFSET(CÁLCULO!$AA$15:$AA$27,0,U$13))),2),0)</f>
        <v>0</v>
      </c>
      <c r="V49" s="628" cm="1">
        <f t="array" aca="1" ref="V49" ca="1">IF(AUTOEVENTO="Manual",ROUND(SUMPRODUCT((CÁLCULO!$M$15:$M$27=EVENTOS!$C49)*(OFFSET(CÁLCULO!$AA$15:$AA$27,0,V$13))),2),0)</f>
        <v>0</v>
      </c>
      <c r="W49" s="628" cm="1">
        <f t="array" aca="1" ref="W49" ca="1">IF(AUTOEVENTO="Manual",ROUND(SUMPRODUCT((CÁLCULO!$M$15:$M$27=EVENTOS!$C49)*(OFFSET(CÁLCULO!$AA$15:$AA$27,0,W$13))),2),0)</f>
        <v>0</v>
      </c>
      <c r="X49" s="628" cm="1">
        <f t="array" aca="1" ref="X49" ca="1">IF(AUTOEVENTO="Manual",ROUND(SUMPRODUCT((CÁLCULO!$M$15:$M$27=EVENTOS!$C49)*(OFFSET(CÁLCULO!$AA$15:$AA$27,0,X$13))),2),0)</f>
        <v>0</v>
      </c>
      <c r="Y49" s="628" cm="1">
        <f t="array" aca="1" ref="Y49" ca="1">IF(AUTOEVENTO="Manual",ROUND(SUMPRODUCT((CÁLCULO!$M$15:$M$27=EVENTOS!$C49)*(OFFSET(CÁLCULO!$AA$15:$AA$27,0,Y$13))),2),0)</f>
        <v>0</v>
      </c>
    </row>
    <row r="50" spans="1:25" x14ac:dyDescent="0.2">
      <c r="A50" s="507" t="str">
        <f t="shared" si="3"/>
        <v/>
      </c>
      <c r="B50" t="str">
        <f t="shared" ca="1" si="4"/>
        <v/>
      </c>
      <c r="C50" s="183" t="str" cm="1">
        <f t="array" aca="1" ref="C50" ca="1">IF(OR(ROW(C50)=ROW(EVENTOS.firstrow)+1,AND(OFFSET(C50,-1,0)&lt;&gt;" ",OFFSET(C50,-1,1)&lt;&gt;"")),OFFSET(C50,-1,0)+1," ")</f>
        <v xml:space="preserve"> </v>
      </c>
      <c r="D50" s="497"/>
      <c r="E50" s="628" cm="1">
        <f t="array" aca="1" ref="E50" ca="1">IF(AUTOEVENTO="Manual",ROUND(SUMPRODUCT((CÁLCULO!$M$15:$M$27=EVENTOS!$C50)*(OFFSET(CÁLCULO!$AA$15:$AA$27,0,E$13))),2),0)</f>
        <v>0</v>
      </c>
      <c r="F50" s="184">
        <f ca="1">IF(AUTOEVENTO="Manual",ROUND(SUMPRODUCT((CÁLCULO!$M$15:$M$27=EVENTOS!$C50)*(OFFSET(CÁLCULO!$AA$15,0,1):OFFSET(CÁLCULO!$AL$27,0,-1))),2),0)</f>
        <v>0</v>
      </c>
      <c r="G50" s="629" t="str">
        <f t="shared" ca="1" si="6"/>
        <v/>
      </c>
      <c r="H50" s="628" cm="1">
        <f t="array" aca="1" ref="H50" ca="1">IF(AUTOEVENTO="Manual",ROUND(SUMPRODUCT((CÁLCULO!$M$15:$M$27=EVENTOS!$C50)*(OFFSET(CÁLCULO!$AA$15:$AA$27,0,H$13))),2),0)</f>
        <v>0</v>
      </c>
      <c r="I50" s="628" cm="1">
        <f t="array" aca="1" ref="I50" ca="1">IF(AUTOEVENTO="Manual",ROUND(SUMPRODUCT((CÁLCULO!$M$15:$M$27=EVENTOS!$C50)*(OFFSET(CÁLCULO!$AA$15:$AA$27,0,I$13))),2),0)</f>
        <v>0</v>
      </c>
      <c r="J50" s="628" cm="1">
        <f t="array" aca="1" ref="J50" ca="1">IF(AUTOEVENTO="Manual",ROUND(SUMPRODUCT((CÁLCULO!$M$15:$M$27=EVENTOS!$C50)*(OFFSET(CÁLCULO!$AA$15:$AA$27,0,J$13))),2),0)</f>
        <v>0</v>
      </c>
      <c r="K50" s="628" cm="1">
        <f t="array" aca="1" ref="K50" ca="1">IF(AUTOEVENTO="Manual",ROUND(SUMPRODUCT((CÁLCULO!$M$15:$M$27=EVENTOS!$C50)*(OFFSET(CÁLCULO!$AA$15:$AA$27,0,K$13))),2),0)</f>
        <v>0</v>
      </c>
      <c r="L50" s="628" cm="1">
        <f t="array" aca="1" ref="L50" ca="1">IF(AUTOEVENTO="Manual",ROUND(SUMPRODUCT((CÁLCULO!$M$15:$M$27=EVENTOS!$C50)*(OFFSET(CÁLCULO!$AA$15:$AA$27,0,L$13))),2),0)</f>
        <v>0</v>
      </c>
      <c r="M50" s="628" cm="1">
        <f t="array" aca="1" ref="M50" ca="1">IF(AUTOEVENTO="Manual",ROUND(SUMPRODUCT((CÁLCULO!$M$15:$M$27=EVENTOS!$C50)*(OFFSET(CÁLCULO!$AA$15:$AA$27,0,M$13))),2),0)</f>
        <v>0</v>
      </c>
      <c r="N50" s="628" cm="1">
        <f t="array" aca="1" ref="N50" ca="1">IF(AUTOEVENTO="Manual",ROUND(SUMPRODUCT((CÁLCULO!$M$15:$M$27=EVENTOS!$C50)*(OFFSET(CÁLCULO!$AA$15:$AA$27,0,N$13))),2),0)</f>
        <v>0</v>
      </c>
      <c r="O50" s="628" cm="1">
        <f t="array" aca="1" ref="O50" ca="1">IF(AUTOEVENTO="Manual",ROUND(SUMPRODUCT((CÁLCULO!$M$15:$M$27=EVENTOS!$C50)*(OFFSET(CÁLCULO!$AA$15:$AA$27,0,O$13))),2),0)</f>
        <v>0</v>
      </c>
      <c r="P50" s="628" cm="1">
        <f t="array" aca="1" ref="P50" ca="1">IF(AUTOEVENTO="Manual",ROUND(SUMPRODUCT((CÁLCULO!$M$15:$M$27=EVENTOS!$C50)*(OFFSET(CÁLCULO!$AA$15:$AA$27,0,P$13))),2),0)</f>
        <v>0</v>
      </c>
      <c r="Q50" s="628" cm="1">
        <f t="array" aca="1" ref="Q50" ca="1">IF(AUTOEVENTO="Manual",ROUND(SUMPRODUCT((CÁLCULO!$M$15:$M$27=EVENTOS!$C50)*(OFFSET(CÁLCULO!$AA$15:$AA$27,0,Q$13))),2),0)</f>
        <v>0</v>
      </c>
      <c r="R50" s="628" cm="1">
        <f t="array" aca="1" ref="R50" ca="1">IF(AUTOEVENTO="Manual",ROUND(SUMPRODUCT((CÁLCULO!$M$15:$M$27=EVENTOS!$C50)*(OFFSET(CÁLCULO!$AA$15:$AA$27,0,R$13))),2),0)</f>
        <v>0</v>
      </c>
      <c r="S50" s="628" cm="1">
        <f t="array" aca="1" ref="S50" ca="1">IF(AUTOEVENTO="Manual",ROUND(SUMPRODUCT((CÁLCULO!$M$15:$M$27=EVENTOS!$C50)*(OFFSET(CÁLCULO!$AA$15:$AA$27,0,S$13))),2),0)</f>
        <v>0</v>
      </c>
      <c r="T50" s="628" cm="1">
        <f t="array" aca="1" ref="T50" ca="1">IF(AUTOEVENTO="Manual",ROUND(SUMPRODUCT((CÁLCULO!$M$15:$M$27=EVENTOS!$C50)*(OFFSET(CÁLCULO!$AA$15:$AA$27,0,T$13))),2),0)</f>
        <v>0</v>
      </c>
      <c r="U50" s="628" cm="1">
        <f t="array" aca="1" ref="U50" ca="1">IF(AUTOEVENTO="Manual",ROUND(SUMPRODUCT((CÁLCULO!$M$15:$M$27=EVENTOS!$C50)*(OFFSET(CÁLCULO!$AA$15:$AA$27,0,U$13))),2),0)</f>
        <v>0</v>
      </c>
      <c r="V50" s="628" cm="1">
        <f t="array" aca="1" ref="V50" ca="1">IF(AUTOEVENTO="Manual",ROUND(SUMPRODUCT((CÁLCULO!$M$15:$M$27=EVENTOS!$C50)*(OFFSET(CÁLCULO!$AA$15:$AA$27,0,V$13))),2),0)</f>
        <v>0</v>
      </c>
      <c r="W50" s="628" cm="1">
        <f t="array" aca="1" ref="W50" ca="1">IF(AUTOEVENTO="Manual",ROUND(SUMPRODUCT((CÁLCULO!$M$15:$M$27=EVENTOS!$C50)*(OFFSET(CÁLCULO!$AA$15:$AA$27,0,W$13))),2),0)</f>
        <v>0</v>
      </c>
      <c r="X50" s="628" cm="1">
        <f t="array" aca="1" ref="X50" ca="1">IF(AUTOEVENTO="Manual",ROUND(SUMPRODUCT((CÁLCULO!$M$15:$M$27=EVENTOS!$C50)*(OFFSET(CÁLCULO!$AA$15:$AA$27,0,X$13))),2),0)</f>
        <v>0</v>
      </c>
      <c r="Y50" s="628" cm="1">
        <f t="array" aca="1" ref="Y50" ca="1">IF(AUTOEVENTO="Manual",ROUND(SUMPRODUCT((CÁLCULO!$M$15:$M$27=EVENTOS!$C50)*(OFFSET(CÁLCULO!$AA$15:$AA$27,0,Y$13))),2),0)</f>
        <v>0</v>
      </c>
    </row>
    <row r="51" spans="1:25" x14ac:dyDescent="0.2">
      <c r="A51" s="507" t="str">
        <f t="shared" si="3"/>
        <v/>
      </c>
      <c r="B51" t="str">
        <f t="shared" ca="1" si="4"/>
        <v/>
      </c>
      <c r="C51" s="183" t="str" cm="1">
        <f t="array" aca="1" ref="C51" ca="1">IF(OR(ROW(C51)=ROW(EVENTOS.firstrow)+1,AND(OFFSET(C51,-1,0)&lt;&gt;" ",OFFSET(C51,-1,1)&lt;&gt;"")),OFFSET(C51,-1,0)+1," ")</f>
        <v xml:space="preserve"> </v>
      </c>
      <c r="D51" s="497"/>
      <c r="E51" s="628" cm="1">
        <f t="array" aca="1" ref="E51" ca="1">IF(AUTOEVENTO="Manual",ROUND(SUMPRODUCT((CÁLCULO!$M$15:$M$27=EVENTOS!$C51)*(OFFSET(CÁLCULO!$AA$15:$AA$27,0,E$13))),2),0)</f>
        <v>0</v>
      </c>
      <c r="F51" s="184">
        <f ca="1">IF(AUTOEVENTO="Manual",ROUND(SUMPRODUCT((CÁLCULO!$M$15:$M$27=EVENTOS!$C51)*(OFFSET(CÁLCULO!$AA$15,0,1):OFFSET(CÁLCULO!$AL$27,0,-1))),2),0)</f>
        <v>0</v>
      </c>
      <c r="G51" s="629" t="str">
        <f t="shared" ca="1" si="6"/>
        <v/>
      </c>
      <c r="H51" s="628" cm="1">
        <f t="array" aca="1" ref="H51" ca="1">IF(AUTOEVENTO="Manual",ROUND(SUMPRODUCT((CÁLCULO!$M$15:$M$27=EVENTOS!$C51)*(OFFSET(CÁLCULO!$AA$15:$AA$27,0,H$13))),2),0)</f>
        <v>0</v>
      </c>
      <c r="I51" s="628" cm="1">
        <f t="array" aca="1" ref="I51" ca="1">IF(AUTOEVENTO="Manual",ROUND(SUMPRODUCT((CÁLCULO!$M$15:$M$27=EVENTOS!$C51)*(OFFSET(CÁLCULO!$AA$15:$AA$27,0,I$13))),2),0)</f>
        <v>0</v>
      </c>
      <c r="J51" s="628" cm="1">
        <f t="array" aca="1" ref="J51" ca="1">IF(AUTOEVENTO="Manual",ROUND(SUMPRODUCT((CÁLCULO!$M$15:$M$27=EVENTOS!$C51)*(OFFSET(CÁLCULO!$AA$15:$AA$27,0,J$13))),2),0)</f>
        <v>0</v>
      </c>
      <c r="K51" s="628" cm="1">
        <f t="array" aca="1" ref="K51" ca="1">IF(AUTOEVENTO="Manual",ROUND(SUMPRODUCT((CÁLCULO!$M$15:$M$27=EVENTOS!$C51)*(OFFSET(CÁLCULO!$AA$15:$AA$27,0,K$13))),2),0)</f>
        <v>0</v>
      </c>
      <c r="L51" s="628" cm="1">
        <f t="array" aca="1" ref="L51" ca="1">IF(AUTOEVENTO="Manual",ROUND(SUMPRODUCT((CÁLCULO!$M$15:$M$27=EVENTOS!$C51)*(OFFSET(CÁLCULO!$AA$15:$AA$27,0,L$13))),2),0)</f>
        <v>0</v>
      </c>
      <c r="M51" s="628" cm="1">
        <f t="array" aca="1" ref="M51" ca="1">IF(AUTOEVENTO="Manual",ROUND(SUMPRODUCT((CÁLCULO!$M$15:$M$27=EVENTOS!$C51)*(OFFSET(CÁLCULO!$AA$15:$AA$27,0,M$13))),2),0)</f>
        <v>0</v>
      </c>
      <c r="N51" s="628" cm="1">
        <f t="array" aca="1" ref="N51" ca="1">IF(AUTOEVENTO="Manual",ROUND(SUMPRODUCT((CÁLCULO!$M$15:$M$27=EVENTOS!$C51)*(OFFSET(CÁLCULO!$AA$15:$AA$27,0,N$13))),2),0)</f>
        <v>0</v>
      </c>
      <c r="O51" s="628" cm="1">
        <f t="array" aca="1" ref="O51" ca="1">IF(AUTOEVENTO="Manual",ROUND(SUMPRODUCT((CÁLCULO!$M$15:$M$27=EVENTOS!$C51)*(OFFSET(CÁLCULO!$AA$15:$AA$27,0,O$13))),2),0)</f>
        <v>0</v>
      </c>
      <c r="P51" s="628" cm="1">
        <f t="array" aca="1" ref="P51" ca="1">IF(AUTOEVENTO="Manual",ROUND(SUMPRODUCT((CÁLCULO!$M$15:$M$27=EVENTOS!$C51)*(OFFSET(CÁLCULO!$AA$15:$AA$27,0,P$13))),2),0)</f>
        <v>0</v>
      </c>
      <c r="Q51" s="628" cm="1">
        <f t="array" aca="1" ref="Q51" ca="1">IF(AUTOEVENTO="Manual",ROUND(SUMPRODUCT((CÁLCULO!$M$15:$M$27=EVENTOS!$C51)*(OFFSET(CÁLCULO!$AA$15:$AA$27,0,Q$13))),2),0)</f>
        <v>0</v>
      </c>
      <c r="R51" s="628" cm="1">
        <f t="array" aca="1" ref="R51" ca="1">IF(AUTOEVENTO="Manual",ROUND(SUMPRODUCT((CÁLCULO!$M$15:$M$27=EVENTOS!$C51)*(OFFSET(CÁLCULO!$AA$15:$AA$27,0,R$13))),2),0)</f>
        <v>0</v>
      </c>
      <c r="S51" s="628" cm="1">
        <f t="array" aca="1" ref="S51" ca="1">IF(AUTOEVENTO="Manual",ROUND(SUMPRODUCT((CÁLCULO!$M$15:$M$27=EVENTOS!$C51)*(OFFSET(CÁLCULO!$AA$15:$AA$27,0,S$13))),2),0)</f>
        <v>0</v>
      </c>
      <c r="T51" s="628" cm="1">
        <f t="array" aca="1" ref="T51" ca="1">IF(AUTOEVENTO="Manual",ROUND(SUMPRODUCT((CÁLCULO!$M$15:$M$27=EVENTOS!$C51)*(OFFSET(CÁLCULO!$AA$15:$AA$27,0,T$13))),2),0)</f>
        <v>0</v>
      </c>
      <c r="U51" s="628" cm="1">
        <f t="array" aca="1" ref="U51" ca="1">IF(AUTOEVENTO="Manual",ROUND(SUMPRODUCT((CÁLCULO!$M$15:$M$27=EVENTOS!$C51)*(OFFSET(CÁLCULO!$AA$15:$AA$27,0,U$13))),2),0)</f>
        <v>0</v>
      </c>
      <c r="V51" s="628" cm="1">
        <f t="array" aca="1" ref="V51" ca="1">IF(AUTOEVENTO="Manual",ROUND(SUMPRODUCT((CÁLCULO!$M$15:$M$27=EVENTOS!$C51)*(OFFSET(CÁLCULO!$AA$15:$AA$27,0,V$13))),2),0)</f>
        <v>0</v>
      </c>
      <c r="W51" s="628" cm="1">
        <f t="array" aca="1" ref="W51" ca="1">IF(AUTOEVENTO="Manual",ROUND(SUMPRODUCT((CÁLCULO!$M$15:$M$27=EVENTOS!$C51)*(OFFSET(CÁLCULO!$AA$15:$AA$27,0,W$13))),2),0)</f>
        <v>0</v>
      </c>
      <c r="X51" s="628" cm="1">
        <f t="array" aca="1" ref="X51" ca="1">IF(AUTOEVENTO="Manual",ROUND(SUMPRODUCT((CÁLCULO!$M$15:$M$27=EVENTOS!$C51)*(OFFSET(CÁLCULO!$AA$15:$AA$27,0,X$13))),2),0)</f>
        <v>0</v>
      </c>
      <c r="Y51" s="628" cm="1">
        <f t="array" aca="1" ref="Y51" ca="1">IF(AUTOEVENTO="Manual",ROUND(SUMPRODUCT((CÁLCULO!$M$15:$M$27=EVENTOS!$C51)*(OFFSET(CÁLCULO!$AA$15:$AA$27,0,Y$13))),2),0)</f>
        <v>0</v>
      </c>
    </row>
    <row r="52" spans="1:25" x14ac:dyDescent="0.2">
      <c r="A52" s="507" t="str">
        <f t="shared" si="3"/>
        <v/>
      </c>
      <c r="B52" t="str">
        <f t="shared" ca="1" si="4"/>
        <v/>
      </c>
      <c r="C52" s="183" t="str" cm="1">
        <f t="array" aca="1" ref="C52" ca="1">IF(OR(ROW(C52)=ROW(EVENTOS.firstrow)+1,AND(OFFSET(C52,-1,0)&lt;&gt;" ",OFFSET(C52,-1,1)&lt;&gt;"")),OFFSET(C52,-1,0)+1," ")</f>
        <v xml:space="preserve"> </v>
      </c>
      <c r="D52" s="497"/>
      <c r="E52" s="628" cm="1">
        <f t="array" aca="1" ref="E52" ca="1">IF(AUTOEVENTO="Manual",ROUND(SUMPRODUCT((CÁLCULO!$M$15:$M$27=EVENTOS!$C52)*(OFFSET(CÁLCULO!$AA$15:$AA$27,0,E$13))),2),0)</f>
        <v>0</v>
      </c>
      <c r="F52" s="184">
        <f ca="1">IF(AUTOEVENTO="Manual",ROUND(SUMPRODUCT((CÁLCULO!$M$15:$M$27=EVENTOS!$C52)*(OFFSET(CÁLCULO!$AA$15,0,1):OFFSET(CÁLCULO!$AL$27,0,-1))),2),0)</f>
        <v>0</v>
      </c>
      <c r="G52" s="629" t="str">
        <f t="shared" ca="1" si="6"/>
        <v/>
      </c>
      <c r="H52" s="628" cm="1">
        <f t="array" aca="1" ref="H52" ca="1">IF(AUTOEVENTO="Manual",ROUND(SUMPRODUCT((CÁLCULO!$M$15:$M$27=EVENTOS!$C52)*(OFFSET(CÁLCULO!$AA$15:$AA$27,0,H$13))),2),0)</f>
        <v>0</v>
      </c>
      <c r="I52" s="628" cm="1">
        <f t="array" aca="1" ref="I52" ca="1">IF(AUTOEVENTO="Manual",ROUND(SUMPRODUCT((CÁLCULO!$M$15:$M$27=EVENTOS!$C52)*(OFFSET(CÁLCULO!$AA$15:$AA$27,0,I$13))),2),0)</f>
        <v>0</v>
      </c>
      <c r="J52" s="628" cm="1">
        <f t="array" aca="1" ref="J52" ca="1">IF(AUTOEVENTO="Manual",ROUND(SUMPRODUCT((CÁLCULO!$M$15:$M$27=EVENTOS!$C52)*(OFFSET(CÁLCULO!$AA$15:$AA$27,0,J$13))),2),0)</f>
        <v>0</v>
      </c>
      <c r="K52" s="628" cm="1">
        <f t="array" aca="1" ref="K52" ca="1">IF(AUTOEVENTO="Manual",ROUND(SUMPRODUCT((CÁLCULO!$M$15:$M$27=EVENTOS!$C52)*(OFFSET(CÁLCULO!$AA$15:$AA$27,0,K$13))),2),0)</f>
        <v>0</v>
      </c>
      <c r="L52" s="628" cm="1">
        <f t="array" aca="1" ref="L52" ca="1">IF(AUTOEVENTO="Manual",ROUND(SUMPRODUCT((CÁLCULO!$M$15:$M$27=EVENTOS!$C52)*(OFFSET(CÁLCULO!$AA$15:$AA$27,0,L$13))),2),0)</f>
        <v>0</v>
      </c>
      <c r="M52" s="628" cm="1">
        <f t="array" aca="1" ref="M52" ca="1">IF(AUTOEVENTO="Manual",ROUND(SUMPRODUCT((CÁLCULO!$M$15:$M$27=EVENTOS!$C52)*(OFFSET(CÁLCULO!$AA$15:$AA$27,0,M$13))),2),0)</f>
        <v>0</v>
      </c>
      <c r="N52" s="628" cm="1">
        <f t="array" aca="1" ref="N52" ca="1">IF(AUTOEVENTO="Manual",ROUND(SUMPRODUCT((CÁLCULO!$M$15:$M$27=EVENTOS!$C52)*(OFFSET(CÁLCULO!$AA$15:$AA$27,0,N$13))),2),0)</f>
        <v>0</v>
      </c>
      <c r="O52" s="628" cm="1">
        <f t="array" aca="1" ref="O52" ca="1">IF(AUTOEVENTO="Manual",ROUND(SUMPRODUCT((CÁLCULO!$M$15:$M$27=EVENTOS!$C52)*(OFFSET(CÁLCULO!$AA$15:$AA$27,0,O$13))),2),0)</f>
        <v>0</v>
      </c>
      <c r="P52" s="628" cm="1">
        <f t="array" aca="1" ref="P52" ca="1">IF(AUTOEVENTO="Manual",ROUND(SUMPRODUCT((CÁLCULO!$M$15:$M$27=EVENTOS!$C52)*(OFFSET(CÁLCULO!$AA$15:$AA$27,0,P$13))),2),0)</f>
        <v>0</v>
      </c>
      <c r="Q52" s="628" cm="1">
        <f t="array" aca="1" ref="Q52" ca="1">IF(AUTOEVENTO="Manual",ROUND(SUMPRODUCT((CÁLCULO!$M$15:$M$27=EVENTOS!$C52)*(OFFSET(CÁLCULO!$AA$15:$AA$27,0,Q$13))),2),0)</f>
        <v>0</v>
      </c>
      <c r="R52" s="628" cm="1">
        <f t="array" aca="1" ref="R52" ca="1">IF(AUTOEVENTO="Manual",ROUND(SUMPRODUCT((CÁLCULO!$M$15:$M$27=EVENTOS!$C52)*(OFFSET(CÁLCULO!$AA$15:$AA$27,0,R$13))),2),0)</f>
        <v>0</v>
      </c>
      <c r="S52" s="628" cm="1">
        <f t="array" aca="1" ref="S52" ca="1">IF(AUTOEVENTO="Manual",ROUND(SUMPRODUCT((CÁLCULO!$M$15:$M$27=EVENTOS!$C52)*(OFFSET(CÁLCULO!$AA$15:$AA$27,0,S$13))),2),0)</f>
        <v>0</v>
      </c>
      <c r="T52" s="628" cm="1">
        <f t="array" aca="1" ref="T52" ca="1">IF(AUTOEVENTO="Manual",ROUND(SUMPRODUCT((CÁLCULO!$M$15:$M$27=EVENTOS!$C52)*(OFFSET(CÁLCULO!$AA$15:$AA$27,0,T$13))),2),0)</f>
        <v>0</v>
      </c>
      <c r="U52" s="628" cm="1">
        <f t="array" aca="1" ref="U52" ca="1">IF(AUTOEVENTO="Manual",ROUND(SUMPRODUCT((CÁLCULO!$M$15:$M$27=EVENTOS!$C52)*(OFFSET(CÁLCULO!$AA$15:$AA$27,0,U$13))),2),0)</f>
        <v>0</v>
      </c>
      <c r="V52" s="628" cm="1">
        <f t="array" aca="1" ref="V52" ca="1">IF(AUTOEVENTO="Manual",ROUND(SUMPRODUCT((CÁLCULO!$M$15:$M$27=EVENTOS!$C52)*(OFFSET(CÁLCULO!$AA$15:$AA$27,0,V$13))),2),0)</f>
        <v>0</v>
      </c>
      <c r="W52" s="628" cm="1">
        <f t="array" aca="1" ref="W52" ca="1">IF(AUTOEVENTO="Manual",ROUND(SUMPRODUCT((CÁLCULO!$M$15:$M$27=EVENTOS!$C52)*(OFFSET(CÁLCULO!$AA$15:$AA$27,0,W$13))),2),0)</f>
        <v>0</v>
      </c>
      <c r="X52" s="628" cm="1">
        <f t="array" aca="1" ref="X52" ca="1">IF(AUTOEVENTO="Manual",ROUND(SUMPRODUCT((CÁLCULO!$M$15:$M$27=EVENTOS!$C52)*(OFFSET(CÁLCULO!$AA$15:$AA$27,0,X$13))),2),0)</f>
        <v>0</v>
      </c>
      <c r="Y52" s="628" cm="1">
        <f t="array" aca="1" ref="Y52" ca="1">IF(AUTOEVENTO="Manual",ROUND(SUMPRODUCT((CÁLCULO!$M$15:$M$27=EVENTOS!$C52)*(OFFSET(CÁLCULO!$AA$15:$AA$27,0,Y$13))),2),0)</f>
        <v>0</v>
      </c>
    </row>
    <row r="53" spans="1:25" x14ac:dyDescent="0.2">
      <c r="A53" s="507" t="str">
        <f t="shared" si="3"/>
        <v/>
      </c>
      <c r="B53" t="str">
        <f t="shared" ca="1" si="4"/>
        <v/>
      </c>
      <c r="C53" s="183" t="str" cm="1">
        <f t="array" aca="1" ref="C53" ca="1">IF(OR(ROW(C53)=ROW(EVENTOS.firstrow)+1,AND(OFFSET(C53,-1,0)&lt;&gt;" ",OFFSET(C53,-1,1)&lt;&gt;"")),OFFSET(C53,-1,0)+1," ")</f>
        <v xml:space="preserve"> </v>
      </c>
      <c r="D53" s="497"/>
      <c r="E53" s="628" cm="1">
        <f t="array" aca="1" ref="E53" ca="1">IF(AUTOEVENTO="Manual",ROUND(SUMPRODUCT((CÁLCULO!$M$15:$M$27=EVENTOS!$C53)*(OFFSET(CÁLCULO!$AA$15:$AA$27,0,E$13))),2),0)</f>
        <v>0</v>
      </c>
      <c r="F53" s="184">
        <f ca="1">IF(AUTOEVENTO="Manual",ROUND(SUMPRODUCT((CÁLCULO!$M$15:$M$27=EVENTOS!$C53)*(OFFSET(CÁLCULO!$AA$15,0,1):OFFSET(CÁLCULO!$AL$27,0,-1))),2),0)</f>
        <v>0</v>
      </c>
      <c r="G53" s="629" t="str">
        <f t="shared" ca="1" si="6"/>
        <v/>
      </c>
      <c r="H53" s="628" cm="1">
        <f t="array" aca="1" ref="H53" ca="1">IF(AUTOEVENTO="Manual",ROUND(SUMPRODUCT((CÁLCULO!$M$15:$M$27=EVENTOS!$C53)*(OFFSET(CÁLCULO!$AA$15:$AA$27,0,H$13))),2),0)</f>
        <v>0</v>
      </c>
      <c r="I53" s="628" cm="1">
        <f t="array" aca="1" ref="I53" ca="1">IF(AUTOEVENTO="Manual",ROUND(SUMPRODUCT((CÁLCULO!$M$15:$M$27=EVENTOS!$C53)*(OFFSET(CÁLCULO!$AA$15:$AA$27,0,I$13))),2),0)</f>
        <v>0</v>
      </c>
      <c r="J53" s="628" cm="1">
        <f t="array" aca="1" ref="J53" ca="1">IF(AUTOEVENTO="Manual",ROUND(SUMPRODUCT((CÁLCULO!$M$15:$M$27=EVENTOS!$C53)*(OFFSET(CÁLCULO!$AA$15:$AA$27,0,J$13))),2),0)</f>
        <v>0</v>
      </c>
      <c r="K53" s="628" cm="1">
        <f t="array" aca="1" ref="K53" ca="1">IF(AUTOEVENTO="Manual",ROUND(SUMPRODUCT((CÁLCULO!$M$15:$M$27=EVENTOS!$C53)*(OFFSET(CÁLCULO!$AA$15:$AA$27,0,K$13))),2),0)</f>
        <v>0</v>
      </c>
      <c r="L53" s="628" cm="1">
        <f t="array" aca="1" ref="L53" ca="1">IF(AUTOEVENTO="Manual",ROUND(SUMPRODUCT((CÁLCULO!$M$15:$M$27=EVENTOS!$C53)*(OFFSET(CÁLCULO!$AA$15:$AA$27,0,L$13))),2),0)</f>
        <v>0</v>
      </c>
      <c r="M53" s="628" cm="1">
        <f t="array" aca="1" ref="M53" ca="1">IF(AUTOEVENTO="Manual",ROUND(SUMPRODUCT((CÁLCULO!$M$15:$M$27=EVENTOS!$C53)*(OFFSET(CÁLCULO!$AA$15:$AA$27,0,M$13))),2),0)</f>
        <v>0</v>
      </c>
      <c r="N53" s="628" cm="1">
        <f t="array" aca="1" ref="N53" ca="1">IF(AUTOEVENTO="Manual",ROUND(SUMPRODUCT((CÁLCULO!$M$15:$M$27=EVENTOS!$C53)*(OFFSET(CÁLCULO!$AA$15:$AA$27,0,N$13))),2),0)</f>
        <v>0</v>
      </c>
      <c r="O53" s="628" cm="1">
        <f t="array" aca="1" ref="O53" ca="1">IF(AUTOEVENTO="Manual",ROUND(SUMPRODUCT((CÁLCULO!$M$15:$M$27=EVENTOS!$C53)*(OFFSET(CÁLCULO!$AA$15:$AA$27,0,O$13))),2),0)</f>
        <v>0</v>
      </c>
      <c r="P53" s="628" cm="1">
        <f t="array" aca="1" ref="P53" ca="1">IF(AUTOEVENTO="Manual",ROUND(SUMPRODUCT((CÁLCULO!$M$15:$M$27=EVENTOS!$C53)*(OFFSET(CÁLCULO!$AA$15:$AA$27,0,P$13))),2),0)</f>
        <v>0</v>
      </c>
      <c r="Q53" s="628" cm="1">
        <f t="array" aca="1" ref="Q53" ca="1">IF(AUTOEVENTO="Manual",ROUND(SUMPRODUCT((CÁLCULO!$M$15:$M$27=EVENTOS!$C53)*(OFFSET(CÁLCULO!$AA$15:$AA$27,0,Q$13))),2),0)</f>
        <v>0</v>
      </c>
      <c r="R53" s="628" cm="1">
        <f t="array" aca="1" ref="R53" ca="1">IF(AUTOEVENTO="Manual",ROUND(SUMPRODUCT((CÁLCULO!$M$15:$M$27=EVENTOS!$C53)*(OFFSET(CÁLCULO!$AA$15:$AA$27,0,R$13))),2),0)</f>
        <v>0</v>
      </c>
      <c r="S53" s="628" cm="1">
        <f t="array" aca="1" ref="S53" ca="1">IF(AUTOEVENTO="Manual",ROUND(SUMPRODUCT((CÁLCULO!$M$15:$M$27=EVENTOS!$C53)*(OFFSET(CÁLCULO!$AA$15:$AA$27,0,S$13))),2),0)</f>
        <v>0</v>
      </c>
      <c r="T53" s="628" cm="1">
        <f t="array" aca="1" ref="T53" ca="1">IF(AUTOEVENTO="Manual",ROUND(SUMPRODUCT((CÁLCULO!$M$15:$M$27=EVENTOS!$C53)*(OFFSET(CÁLCULO!$AA$15:$AA$27,0,T$13))),2),0)</f>
        <v>0</v>
      </c>
      <c r="U53" s="628" cm="1">
        <f t="array" aca="1" ref="U53" ca="1">IF(AUTOEVENTO="Manual",ROUND(SUMPRODUCT((CÁLCULO!$M$15:$M$27=EVENTOS!$C53)*(OFFSET(CÁLCULO!$AA$15:$AA$27,0,U$13))),2),0)</f>
        <v>0</v>
      </c>
      <c r="V53" s="628" cm="1">
        <f t="array" aca="1" ref="V53" ca="1">IF(AUTOEVENTO="Manual",ROUND(SUMPRODUCT((CÁLCULO!$M$15:$M$27=EVENTOS!$C53)*(OFFSET(CÁLCULO!$AA$15:$AA$27,0,V$13))),2),0)</f>
        <v>0</v>
      </c>
      <c r="W53" s="628" cm="1">
        <f t="array" aca="1" ref="W53" ca="1">IF(AUTOEVENTO="Manual",ROUND(SUMPRODUCT((CÁLCULO!$M$15:$M$27=EVENTOS!$C53)*(OFFSET(CÁLCULO!$AA$15:$AA$27,0,W$13))),2),0)</f>
        <v>0</v>
      </c>
      <c r="X53" s="628" cm="1">
        <f t="array" aca="1" ref="X53" ca="1">IF(AUTOEVENTO="Manual",ROUND(SUMPRODUCT((CÁLCULO!$M$15:$M$27=EVENTOS!$C53)*(OFFSET(CÁLCULO!$AA$15:$AA$27,0,X$13))),2),0)</f>
        <v>0</v>
      </c>
      <c r="Y53" s="628" cm="1">
        <f t="array" aca="1" ref="Y53" ca="1">IF(AUTOEVENTO="Manual",ROUND(SUMPRODUCT((CÁLCULO!$M$15:$M$27=EVENTOS!$C53)*(OFFSET(CÁLCULO!$AA$15:$AA$27,0,Y$13))),2),0)</f>
        <v>0</v>
      </c>
    </row>
    <row r="54" spans="1:25" x14ac:dyDescent="0.2">
      <c r="A54" s="507" t="str">
        <f t="shared" si="3"/>
        <v/>
      </c>
      <c r="B54" t="str">
        <f t="shared" ca="1" si="4"/>
        <v/>
      </c>
      <c r="C54" s="183" t="str" cm="1">
        <f t="array" aca="1" ref="C54" ca="1">IF(OR(ROW(C54)=ROW(EVENTOS.firstrow)+1,AND(OFFSET(C54,-1,0)&lt;&gt;" ",OFFSET(C54,-1,1)&lt;&gt;"")),OFFSET(C54,-1,0)+1," ")</f>
        <v xml:space="preserve"> </v>
      </c>
      <c r="D54" s="497"/>
      <c r="E54" s="628" cm="1">
        <f t="array" aca="1" ref="E54" ca="1">IF(AUTOEVENTO="Manual",ROUND(SUMPRODUCT((CÁLCULO!$M$15:$M$27=EVENTOS!$C54)*(OFFSET(CÁLCULO!$AA$15:$AA$27,0,E$13))),2),0)</f>
        <v>0</v>
      </c>
      <c r="F54" s="184">
        <f ca="1">IF(AUTOEVENTO="Manual",ROUND(SUMPRODUCT((CÁLCULO!$M$15:$M$27=EVENTOS!$C54)*(OFFSET(CÁLCULO!$AA$15,0,1):OFFSET(CÁLCULO!$AL$27,0,-1))),2),0)</f>
        <v>0</v>
      </c>
      <c r="G54" s="629" t="str">
        <f t="shared" ca="1" si="6"/>
        <v/>
      </c>
      <c r="H54" s="628" cm="1">
        <f t="array" aca="1" ref="H54" ca="1">IF(AUTOEVENTO="Manual",ROUND(SUMPRODUCT((CÁLCULO!$M$15:$M$27=EVENTOS!$C54)*(OFFSET(CÁLCULO!$AA$15:$AA$27,0,H$13))),2),0)</f>
        <v>0</v>
      </c>
      <c r="I54" s="628" cm="1">
        <f t="array" aca="1" ref="I54" ca="1">IF(AUTOEVENTO="Manual",ROUND(SUMPRODUCT((CÁLCULO!$M$15:$M$27=EVENTOS!$C54)*(OFFSET(CÁLCULO!$AA$15:$AA$27,0,I$13))),2),0)</f>
        <v>0</v>
      </c>
      <c r="J54" s="628" cm="1">
        <f t="array" aca="1" ref="J54" ca="1">IF(AUTOEVENTO="Manual",ROUND(SUMPRODUCT((CÁLCULO!$M$15:$M$27=EVENTOS!$C54)*(OFFSET(CÁLCULO!$AA$15:$AA$27,0,J$13))),2),0)</f>
        <v>0</v>
      </c>
      <c r="K54" s="628" cm="1">
        <f t="array" aca="1" ref="K54" ca="1">IF(AUTOEVENTO="Manual",ROUND(SUMPRODUCT((CÁLCULO!$M$15:$M$27=EVENTOS!$C54)*(OFFSET(CÁLCULO!$AA$15:$AA$27,0,K$13))),2),0)</f>
        <v>0</v>
      </c>
      <c r="L54" s="628" cm="1">
        <f t="array" aca="1" ref="L54" ca="1">IF(AUTOEVENTO="Manual",ROUND(SUMPRODUCT((CÁLCULO!$M$15:$M$27=EVENTOS!$C54)*(OFFSET(CÁLCULO!$AA$15:$AA$27,0,L$13))),2),0)</f>
        <v>0</v>
      </c>
      <c r="M54" s="628" cm="1">
        <f t="array" aca="1" ref="M54" ca="1">IF(AUTOEVENTO="Manual",ROUND(SUMPRODUCT((CÁLCULO!$M$15:$M$27=EVENTOS!$C54)*(OFFSET(CÁLCULO!$AA$15:$AA$27,0,M$13))),2),0)</f>
        <v>0</v>
      </c>
      <c r="N54" s="628" cm="1">
        <f t="array" aca="1" ref="N54" ca="1">IF(AUTOEVENTO="Manual",ROUND(SUMPRODUCT((CÁLCULO!$M$15:$M$27=EVENTOS!$C54)*(OFFSET(CÁLCULO!$AA$15:$AA$27,0,N$13))),2),0)</f>
        <v>0</v>
      </c>
      <c r="O54" s="628" cm="1">
        <f t="array" aca="1" ref="O54" ca="1">IF(AUTOEVENTO="Manual",ROUND(SUMPRODUCT((CÁLCULO!$M$15:$M$27=EVENTOS!$C54)*(OFFSET(CÁLCULO!$AA$15:$AA$27,0,O$13))),2),0)</f>
        <v>0</v>
      </c>
      <c r="P54" s="628" cm="1">
        <f t="array" aca="1" ref="P54" ca="1">IF(AUTOEVENTO="Manual",ROUND(SUMPRODUCT((CÁLCULO!$M$15:$M$27=EVENTOS!$C54)*(OFFSET(CÁLCULO!$AA$15:$AA$27,0,P$13))),2),0)</f>
        <v>0</v>
      </c>
      <c r="Q54" s="628" cm="1">
        <f t="array" aca="1" ref="Q54" ca="1">IF(AUTOEVENTO="Manual",ROUND(SUMPRODUCT((CÁLCULO!$M$15:$M$27=EVENTOS!$C54)*(OFFSET(CÁLCULO!$AA$15:$AA$27,0,Q$13))),2),0)</f>
        <v>0</v>
      </c>
      <c r="R54" s="628" cm="1">
        <f t="array" aca="1" ref="R54" ca="1">IF(AUTOEVENTO="Manual",ROUND(SUMPRODUCT((CÁLCULO!$M$15:$M$27=EVENTOS!$C54)*(OFFSET(CÁLCULO!$AA$15:$AA$27,0,R$13))),2),0)</f>
        <v>0</v>
      </c>
      <c r="S54" s="628" cm="1">
        <f t="array" aca="1" ref="S54" ca="1">IF(AUTOEVENTO="Manual",ROUND(SUMPRODUCT((CÁLCULO!$M$15:$M$27=EVENTOS!$C54)*(OFFSET(CÁLCULO!$AA$15:$AA$27,0,S$13))),2),0)</f>
        <v>0</v>
      </c>
      <c r="T54" s="628" cm="1">
        <f t="array" aca="1" ref="T54" ca="1">IF(AUTOEVENTO="Manual",ROUND(SUMPRODUCT((CÁLCULO!$M$15:$M$27=EVENTOS!$C54)*(OFFSET(CÁLCULO!$AA$15:$AA$27,0,T$13))),2),0)</f>
        <v>0</v>
      </c>
      <c r="U54" s="628" cm="1">
        <f t="array" aca="1" ref="U54" ca="1">IF(AUTOEVENTO="Manual",ROUND(SUMPRODUCT((CÁLCULO!$M$15:$M$27=EVENTOS!$C54)*(OFFSET(CÁLCULO!$AA$15:$AA$27,0,U$13))),2),0)</f>
        <v>0</v>
      </c>
      <c r="V54" s="628" cm="1">
        <f t="array" aca="1" ref="V54" ca="1">IF(AUTOEVENTO="Manual",ROUND(SUMPRODUCT((CÁLCULO!$M$15:$M$27=EVENTOS!$C54)*(OFFSET(CÁLCULO!$AA$15:$AA$27,0,V$13))),2),0)</f>
        <v>0</v>
      </c>
      <c r="W54" s="628" cm="1">
        <f t="array" aca="1" ref="W54" ca="1">IF(AUTOEVENTO="Manual",ROUND(SUMPRODUCT((CÁLCULO!$M$15:$M$27=EVENTOS!$C54)*(OFFSET(CÁLCULO!$AA$15:$AA$27,0,W$13))),2),0)</f>
        <v>0</v>
      </c>
      <c r="X54" s="628" cm="1">
        <f t="array" aca="1" ref="X54" ca="1">IF(AUTOEVENTO="Manual",ROUND(SUMPRODUCT((CÁLCULO!$M$15:$M$27=EVENTOS!$C54)*(OFFSET(CÁLCULO!$AA$15:$AA$27,0,X$13))),2),0)</f>
        <v>0</v>
      </c>
      <c r="Y54" s="628" cm="1">
        <f t="array" aca="1" ref="Y54" ca="1">IF(AUTOEVENTO="Manual",ROUND(SUMPRODUCT((CÁLCULO!$M$15:$M$27=EVENTOS!$C54)*(OFFSET(CÁLCULO!$AA$15:$AA$27,0,Y$13))),2),0)</f>
        <v>0</v>
      </c>
    </row>
    <row r="55" spans="1:25" x14ac:dyDescent="0.2">
      <c r="A55" s="507" t="str">
        <f t="shared" si="3"/>
        <v/>
      </c>
      <c r="B55" t="str">
        <f t="shared" ca="1" si="4"/>
        <v/>
      </c>
      <c r="C55" s="183" t="str" cm="1">
        <f t="array" aca="1" ref="C55" ca="1">IF(OR(ROW(C55)=ROW(EVENTOS.firstrow)+1,AND(OFFSET(C55,-1,0)&lt;&gt;" ",OFFSET(C55,-1,1)&lt;&gt;"")),OFFSET(C55,-1,0)+1," ")</f>
        <v xml:space="preserve"> </v>
      </c>
      <c r="D55" s="497"/>
      <c r="E55" s="628" cm="1">
        <f t="array" aca="1" ref="E55" ca="1">IF(AUTOEVENTO="Manual",ROUND(SUMPRODUCT((CÁLCULO!$M$15:$M$27=EVENTOS!$C55)*(OFFSET(CÁLCULO!$AA$15:$AA$27,0,E$13))),2),0)</f>
        <v>0</v>
      </c>
      <c r="F55" s="184">
        <f ca="1">IF(AUTOEVENTO="Manual",ROUND(SUMPRODUCT((CÁLCULO!$M$15:$M$27=EVENTOS!$C55)*(OFFSET(CÁLCULO!$AA$15,0,1):OFFSET(CÁLCULO!$AL$27,0,-1))),2),0)</f>
        <v>0</v>
      </c>
      <c r="G55" s="629" t="str">
        <f t="shared" ca="1" si="6"/>
        <v/>
      </c>
      <c r="H55" s="628" cm="1">
        <f t="array" aca="1" ref="H55" ca="1">IF(AUTOEVENTO="Manual",ROUND(SUMPRODUCT((CÁLCULO!$M$15:$M$27=EVENTOS!$C55)*(OFFSET(CÁLCULO!$AA$15:$AA$27,0,H$13))),2),0)</f>
        <v>0</v>
      </c>
      <c r="I55" s="628" cm="1">
        <f t="array" aca="1" ref="I55" ca="1">IF(AUTOEVENTO="Manual",ROUND(SUMPRODUCT((CÁLCULO!$M$15:$M$27=EVENTOS!$C55)*(OFFSET(CÁLCULO!$AA$15:$AA$27,0,I$13))),2),0)</f>
        <v>0</v>
      </c>
      <c r="J55" s="628" cm="1">
        <f t="array" aca="1" ref="J55" ca="1">IF(AUTOEVENTO="Manual",ROUND(SUMPRODUCT((CÁLCULO!$M$15:$M$27=EVENTOS!$C55)*(OFFSET(CÁLCULO!$AA$15:$AA$27,0,J$13))),2),0)</f>
        <v>0</v>
      </c>
      <c r="K55" s="628" cm="1">
        <f t="array" aca="1" ref="K55" ca="1">IF(AUTOEVENTO="Manual",ROUND(SUMPRODUCT((CÁLCULO!$M$15:$M$27=EVENTOS!$C55)*(OFFSET(CÁLCULO!$AA$15:$AA$27,0,K$13))),2),0)</f>
        <v>0</v>
      </c>
      <c r="L55" s="628" cm="1">
        <f t="array" aca="1" ref="L55" ca="1">IF(AUTOEVENTO="Manual",ROUND(SUMPRODUCT((CÁLCULO!$M$15:$M$27=EVENTOS!$C55)*(OFFSET(CÁLCULO!$AA$15:$AA$27,0,L$13))),2),0)</f>
        <v>0</v>
      </c>
      <c r="M55" s="628" cm="1">
        <f t="array" aca="1" ref="M55" ca="1">IF(AUTOEVENTO="Manual",ROUND(SUMPRODUCT((CÁLCULO!$M$15:$M$27=EVENTOS!$C55)*(OFFSET(CÁLCULO!$AA$15:$AA$27,0,M$13))),2),0)</f>
        <v>0</v>
      </c>
      <c r="N55" s="628" cm="1">
        <f t="array" aca="1" ref="N55" ca="1">IF(AUTOEVENTO="Manual",ROUND(SUMPRODUCT((CÁLCULO!$M$15:$M$27=EVENTOS!$C55)*(OFFSET(CÁLCULO!$AA$15:$AA$27,0,N$13))),2),0)</f>
        <v>0</v>
      </c>
      <c r="O55" s="628" cm="1">
        <f t="array" aca="1" ref="O55" ca="1">IF(AUTOEVENTO="Manual",ROUND(SUMPRODUCT((CÁLCULO!$M$15:$M$27=EVENTOS!$C55)*(OFFSET(CÁLCULO!$AA$15:$AA$27,0,O$13))),2),0)</f>
        <v>0</v>
      </c>
      <c r="P55" s="628" cm="1">
        <f t="array" aca="1" ref="P55" ca="1">IF(AUTOEVENTO="Manual",ROUND(SUMPRODUCT((CÁLCULO!$M$15:$M$27=EVENTOS!$C55)*(OFFSET(CÁLCULO!$AA$15:$AA$27,0,P$13))),2),0)</f>
        <v>0</v>
      </c>
      <c r="Q55" s="628" cm="1">
        <f t="array" aca="1" ref="Q55" ca="1">IF(AUTOEVENTO="Manual",ROUND(SUMPRODUCT((CÁLCULO!$M$15:$M$27=EVENTOS!$C55)*(OFFSET(CÁLCULO!$AA$15:$AA$27,0,Q$13))),2),0)</f>
        <v>0</v>
      </c>
      <c r="R55" s="628" cm="1">
        <f t="array" aca="1" ref="R55" ca="1">IF(AUTOEVENTO="Manual",ROUND(SUMPRODUCT((CÁLCULO!$M$15:$M$27=EVENTOS!$C55)*(OFFSET(CÁLCULO!$AA$15:$AA$27,0,R$13))),2),0)</f>
        <v>0</v>
      </c>
      <c r="S55" s="628" cm="1">
        <f t="array" aca="1" ref="S55" ca="1">IF(AUTOEVENTO="Manual",ROUND(SUMPRODUCT((CÁLCULO!$M$15:$M$27=EVENTOS!$C55)*(OFFSET(CÁLCULO!$AA$15:$AA$27,0,S$13))),2),0)</f>
        <v>0</v>
      </c>
      <c r="T55" s="628" cm="1">
        <f t="array" aca="1" ref="T55" ca="1">IF(AUTOEVENTO="Manual",ROUND(SUMPRODUCT((CÁLCULO!$M$15:$M$27=EVENTOS!$C55)*(OFFSET(CÁLCULO!$AA$15:$AA$27,0,T$13))),2),0)</f>
        <v>0</v>
      </c>
      <c r="U55" s="628" cm="1">
        <f t="array" aca="1" ref="U55" ca="1">IF(AUTOEVENTO="Manual",ROUND(SUMPRODUCT((CÁLCULO!$M$15:$M$27=EVENTOS!$C55)*(OFFSET(CÁLCULO!$AA$15:$AA$27,0,U$13))),2),0)</f>
        <v>0</v>
      </c>
      <c r="V55" s="628" cm="1">
        <f t="array" aca="1" ref="V55" ca="1">IF(AUTOEVENTO="Manual",ROUND(SUMPRODUCT((CÁLCULO!$M$15:$M$27=EVENTOS!$C55)*(OFFSET(CÁLCULO!$AA$15:$AA$27,0,V$13))),2),0)</f>
        <v>0</v>
      </c>
      <c r="W55" s="628" cm="1">
        <f t="array" aca="1" ref="W55" ca="1">IF(AUTOEVENTO="Manual",ROUND(SUMPRODUCT((CÁLCULO!$M$15:$M$27=EVENTOS!$C55)*(OFFSET(CÁLCULO!$AA$15:$AA$27,0,W$13))),2),0)</f>
        <v>0</v>
      </c>
      <c r="X55" s="628" cm="1">
        <f t="array" aca="1" ref="X55" ca="1">IF(AUTOEVENTO="Manual",ROUND(SUMPRODUCT((CÁLCULO!$M$15:$M$27=EVENTOS!$C55)*(OFFSET(CÁLCULO!$AA$15:$AA$27,0,X$13))),2),0)</f>
        <v>0</v>
      </c>
      <c r="Y55" s="628" cm="1">
        <f t="array" aca="1" ref="Y55" ca="1">IF(AUTOEVENTO="Manual",ROUND(SUMPRODUCT((CÁLCULO!$M$15:$M$27=EVENTOS!$C55)*(OFFSET(CÁLCULO!$AA$15:$AA$27,0,Y$13))),2),0)</f>
        <v>0</v>
      </c>
    </row>
    <row r="56" spans="1:25" x14ac:dyDescent="0.2">
      <c r="A56" s="507" t="str">
        <f t="shared" si="3"/>
        <v/>
      </c>
      <c r="B56" t="str">
        <f t="shared" ca="1" si="4"/>
        <v/>
      </c>
      <c r="C56" s="183" t="str" cm="1">
        <f t="array" aca="1" ref="C56" ca="1">IF(OR(ROW(C56)=ROW(EVENTOS.firstrow)+1,AND(OFFSET(C56,-1,0)&lt;&gt;" ",OFFSET(C56,-1,1)&lt;&gt;"")),OFFSET(C56,-1,0)+1," ")</f>
        <v xml:space="preserve"> </v>
      </c>
      <c r="D56" s="497"/>
      <c r="E56" s="628" cm="1">
        <f t="array" aca="1" ref="E56" ca="1">IF(AUTOEVENTO="Manual",ROUND(SUMPRODUCT((CÁLCULO!$M$15:$M$27=EVENTOS!$C56)*(OFFSET(CÁLCULO!$AA$15:$AA$27,0,E$13))),2),0)</f>
        <v>0</v>
      </c>
      <c r="F56" s="184">
        <f ca="1">IF(AUTOEVENTO="Manual",ROUND(SUMPRODUCT((CÁLCULO!$M$15:$M$27=EVENTOS!$C56)*(OFFSET(CÁLCULO!$AA$15,0,1):OFFSET(CÁLCULO!$AL$27,0,-1))),2),0)</f>
        <v>0</v>
      </c>
      <c r="G56" s="629" t="str">
        <f t="shared" ca="1" si="6"/>
        <v/>
      </c>
      <c r="H56" s="628" cm="1">
        <f t="array" aca="1" ref="H56" ca="1">IF(AUTOEVENTO="Manual",ROUND(SUMPRODUCT((CÁLCULO!$M$15:$M$27=EVENTOS!$C56)*(OFFSET(CÁLCULO!$AA$15:$AA$27,0,H$13))),2),0)</f>
        <v>0</v>
      </c>
      <c r="I56" s="628" cm="1">
        <f t="array" aca="1" ref="I56" ca="1">IF(AUTOEVENTO="Manual",ROUND(SUMPRODUCT((CÁLCULO!$M$15:$M$27=EVENTOS!$C56)*(OFFSET(CÁLCULO!$AA$15:$AA$27,0,I$13))),2),0)</f>
        <v>0</v>
      </c>
      <c r="J56" s="628" cm="1">
        <f t="array" aca="1" ref="J56" ca="1">IF(AUTOEVENTO="Manual",ROUND(SUMPRODUCT((CÁLCULO!$M$15:$M$27=EVENTOS!$C56)*(OFFSET(CÁLCULO!$AA$15:$AA$27,0,J$13))),2),0)</f>
        <v>0</v>
      </c>
      <c r="K56" s="628" cm="1">
        <f t="array" aca="1" ref="K56" ca="1">IF(AUTOEVENTO="Manual",ROUND(SUMPRODUCT((CÁLCULO!$M$15:$M$27=EVENTOS!$C56)*(OFFSET(CÁLCULO!$AA$15:$AA$27,0,K$13))),2),0)</f>
        <v>0</v>
      </c>
      <c r="L56" s="628" cm="1">
        <f t="array" aca="1" ref="L56" ca="1">IF(AUTOEVENTO="Manual",ROUND(SUMPRODUCT((CÁLCULO!$M$15:$M$27=EVENTOS!$C56)*(OFFSET(CÁLCULO!$AA$15:$AA$27,0,L$13))),2),0)</f>
        <v>0</v>
      </c>
      <c r="M56" s="628" cm="1">
        <f t="array" aca="1" ref="M56" ca="1">IF(AUTOEVENTO="Manual",ROUND(SUMPRODUCT((CÁLCULO!$M$15:$M$27=EVENTOS!$C56)*(OFFSET(CÁLCULO!$AA$15:$AA$27,0,M$13))),2),0)</f>
        <v>0</v>
      </c>
      <c r="N56" s="628" cm="1">
        <f t="array" aca="1" ref="N56" ca="1">IF(AUTOEVENTO="Manual",ROUND(SUMPRODUCT((CÁLCULO!$M$15:$M$27=EVENTOS!$C56)*(OFFSET(CÁLCULO!$AA$15:$AA$27,0,N$13))),2),0)</f>
        <v>0</v>
      </c>
      <c r="O56" s="628" cm="1">
        <f t="array" aca="1" ref="O56" ca="1">IF(AUTOEVENTO="Manual",ROUND(SUMPRODUCT((CÁLCULO!$M$15:$M$27=EVENTOS!$C56)*(OFFSET(CÁLCULO!$AA$15:$AA$27,0,O$13))),2),0)</f>
        <v>0</v>
      </c>
      <c r="P56" s="628" cm="1">
        <f t="array" aca="1" ref="P56" ca="1">IF(AUTOEVENTO="Manual",ROUND(SUMPRODUCT((CÁLCULO!$M$15:$M$27=EVENTOS!$C56)*(OFFSET(CÁLCULO!$AA$15:$AA$27,0,P$13))),2),0)</f>
        <v>0</v>
      </c>
      <c r="Q56" s="628" cm="1">
        <f t="array" aca="1" ref="Q56" ca="1">IF(AUTOEVENTO="Manual",ROUND(SUMPRODUCT((CÁLCULO!$M$15:$M$27=EVENTOS!$C56)*(OFFSET(CÁLCULO!$AA$15:$AA$27,0,Q$13))),2),0)</f>
        <v>0</v>
      </c>
      <c r="R56" s="628" cm="1">
        <f t="array" aca="1" ref="R56" ca="1">IF(AUTOEVENTO="Manual",ROUND(SUMPRODUCT((CÁLCULO!$M$15:$M$27=EVENTOS!$C56)*(OFFSET(CÁLCULO!$AA$15:$AA$27,0,R$13))),2),0)</f>
        <v>0</v>
      </c>
      <c r="S56" s="628" cm="1">
        <f t="array" aca="1" ref="S56" ca="1">IF(AUTOEVENTO="Manual",ROUND(SUMPRODUCT((CÁLCULO!$M$15:$M$27=EVENTOS!$C56)*(OFFSET(CÁLCULO!$AA$15:$AA$27,0,S$13))),2),0)</f>
        <v>0</v>
      </c>
      <c r="T56" s="628" cm="1">
        <f t="array" aca="1" ref="T56" ca="1">IF(AUTOEVENTO="Manual",ROUND(SUMPRODUCT((CÁLCULO!$M$15:$M$27=EVENTOS!$C56)*(OFFSET(CÁLCULO!$AA$15:$AA$27,0,T$13))),2),0)</f>
        <v>0</v>
      </c>
      <c r="U56" s="628" cm="1">
        <f t="array" aca="1" ref="U56" ca="1">IF(AUTOEVENTO="Manual",ROUND(SUMPRODUCT((CÁLCULO!$M$15:$M$27=EVENTOS!$C56)*(OFFSET(CÁLCULO!$AA$15:$AA$27,0,U$13))),2),0)</f>
        <v>0</v>
      </c>
      <c r="V56" s="628" cm="1">
        <f t="array" aca="1" ref="V56" ca="1">IF(AUTOEVENTO="Manual",ROUND(SUMPRODUCT((CÁLCULO!$M$15:$M$27=EVENTOS!$C56)*(OFFSET(CÁLCULO!$AA$15:$AA$27,0,V$13))),2),0)</f>
        <v>0</v>
      </c>
      <c r="W56" s="628" cm="1">
        <f t="array" aca="1" ref="W56" ca="1">IF(AUTOEVENTO="Manual",ROUND(SUMPRODUCT((CÁLCULO!$M$15:$M$27=EVENTOS!$C56)*(OFFSET(CÁLCULO!$AA$15:$AA$27,0,W$13))),2),0)</f>
        <v>0</v>
      </c>
      <c r="X56" s="628" cm="1">
        <f t="array" aca="1" ref="X56" ca="1">IF(AUTOEVENTO="Manual",ROUND(SUMPRODUCT((CÁLCULO!$M$15:$M$27=EVENTOS!$C56)*(OFFSET(CÁLCULO!$AA$15:$AA$27,0,X$13))),2),0)</f>
        <v>0</v>
      </c>
      <c r="Y56" s="628" cm="1">
        <f t="array" aca="1" ref="Y56" ca="1">IF(AUTOEVENTO="Manual",ROUND(SUMPRODUCT((CÁLCULO!$M$15:$M$27=EVENTOS!$C56)*(OFFSET(CÁLCULO!$AA$15:$AA$27,0,Y$13))),2),0)</f>
        <v>0</v>
      </c>
    </row>
    <row r="57" spans="1:25" x14ac:dyDescent="0.2">
      <c r="A57" s="507" t="str">
        <f t="shared" si="3"/>
        <v/>
      </c>
      <c r="B57" t="str">
        <f t="shared" ca="1" si="4"/>
        <v/>
      </c>
      <c r="C57" s="183" t="str" cm="1">
        <f t="array" aca="1" ref="C57" ca="1">IF(OR(ROW(C57)=ROW(EVENTOS.firstrow)+1,AND(OFFSET(C57,-1,0)&lt;&gt;" ",OFFSET(C57,-1,1)&lt;&gt;"")),OFFSET(C57,-1,0)+1," ")</f>
        <v xml:space="preserve"> </v>
      </c>
      <c r="D57" s="497"/>
      <c r="E57" s="628" cm="1">
        <f t="array" aca="1" ref="E57" ca="1">IF(AUTOEVENTO="Manual",ROUND(SUMPRODUCT((CÁLCULO!$M$15:$M$27=EVENTOS!$C57)*(OFFSET(CÁLCULO!$AA$15:$AA$27,0,E$13))),2),0)</f>
        <v>0</v>
      </c>
      <c r="F57" s="184">
        <f ca="1">IF(AUTOEVENTO="Manual",ROUND(SUMPRODUCT((CÁLCULO!$M$15:$M$27=EVENTOS!$C57)*(OFFSET(CÁLCULO!$AA$15,0,1):OFFSET(CÁLCULO!$AL$27,0,-1))),2),0)</f>
        <v>0</v>
      </c>
      <c r="G57" s="629" t="str">
        <f t="shared" ca="1" si="6"/>
        <v/>
      </c>
      <c r="H57" s="628" cm="1">
        <f t="array" aca="1" ref="H57" ca="1">IF(AUTOEVENTO="Manual",ROUND(SUMPRODUCT((CÁLCULO!$M$15:$M$27=EVENTOS!$C57)*(OFFSET(CÁLCULO!$AA$15:$AA$27,0,H$13))),2),0)</f>
        <v>0</v>
      </c>
      <c r="I57" s="628" cm="1">
        <f t="array" aca="1" ref="I57" ca="1">IF(AUTOEVENTO="Manual",ROUND(SUMPRODUCT((CÁLCULO!$M$15:$M$27=EVENTOS!$C57)*(OFFSET(CÁLCULO!$AA$15:$AA$27,0,I$13))),2),0)</f>
        <v>0</v>
      </c>
      <c r="J57" s="628" cm="1">
        <f t="array" aca="1" ref="J57" ca="1">IF(AUTOEVENTO="Manual",ROUND(SUMPRODUCT((CÁLCULO!$M$15:$M$27=EVENTOS!$C57)*(OFFSET(CÁLCULO!$AA$15:$AA$27,0,J$13))),2),0)</f>
        <v>0</v>
      </c>
      <c r="K57" s="628" cm="1">
        <f t="array" aca="1" ref="K57" ca="1">IF(AUTOEVENTO="Manual",ROUND(SUMPRODUCT((CÁLCULO!$M$15:$M$27=EVENTOS!$C57)*(OFFSET(CÁLCULO!$AA$15:$AA$27,0,K$13))),2),0)</f>
        <v>0</v>
      </c>
      <c r="L57" s="628" cm="1">
        <f t="array" aca="1" ref="L57" ca="1">IF(AUTOEVENTO="Manual",ROUND(SUMPRODUCT((CÁLCULO!$M$15:$M$27=EVENTOS!$C57)*(OFFSET(CÁLCULO!$AA$15:$AA$27,0,L$13))),2),0)</f>
        <v>0</v>
      </c>
      <c r="M57" s="628" cm="1">
        <f t="array" aca="1" ref="M57" ca="1">IF(AUTOEVENTO="Manual",ROUND(SUMPRODUCT((CÁLCULO!$M$15:$M$27=EVENTOS!$C57)*(OFFSET(CÁLCULO!$AA$15:$AA$27,0,M$13))),2),0)</f>
        <v>0</v>
      </c>
      <c r="N57" s="628" cm="1">
        <f t="array" aca="1" ref="N57" ca="1">IF(AUTOEVENTO="Manual",ROUND(SUMPRODUCT((CÁLCULO!$M$15:$M$27=EVENTOS!$C57)*(OFFSET(CÁLCULO!$AA$15:$AA$27,0,N$13))),2),0)</f>
        <v>0</v>
      </c>
      <c r="O57" s="628" cm="1">
        <f t="array" aca="1" ref="O57" ca="1">IF(AUTOEVENTO="Manual",ROUND(SUMPRODUCT((CÁLCULO!$M$15:$M$27=EVENTOS!$C57)*(OFFSET(CÁLCULO!$AA$15:$AA$27,0,O$13))),2),0)</f>
        <v>0</v>
      </c>
      <c r="P57" s="628" cm="1">
        <f t="array" aca="1" ref="P57" ca="1">IF(AUTOEVENTO="Manual",ROUND(SUMPRODUCT((CÁLCULO!$M$15:$M$27=EVENTOS!$C57)*(OFFSET(CÁLCULO!$AA$15:$AA$27,0,P$13))),2),0)</f>
        <v>0</v>
      </c>
      <c r="Q57" s="628" cm="1">
        <f t="array" aca="1" ref="Q57" ca="1">IF(AUTOEVENTO="Manual",ROUND(SUMPRODUCT((CÁLCULO!$M$15:$M$27=EVENTOS!$C57)*(OFFSET(CÁLCULO!$AA$15:$AA$27,0,Q$13))),2),0)</f>
        <v>0</v>
      </c>
      <c r="R57" s="628" cm="1">
        <f t="array" aca="1" ref="R57" ca="1">IF(AUTOEVENTO="Manual",ROUND(SUMPRODUCT((CÁLCULO!$M$15:$M$27=EVENTOS!$C57)*(OFFSET(CÁLCULO!$AA$15:$AA$27,0,R$13))),2),0)</f>
        <v>0</v>
      </c>
      <c r="S57" s="628" cm="1">
        <f t="array" aca="1" ref="S57" ca="1">IF(AUTOEVENTO="Manual",ROUND(SUMPRODUCT((CÁLCULO!$M$15:$M$27=EVENTOS!$C57)*(OFFSET(CÁLCULO!$AA$15:$AA$27,0,S$13))),2),0)</f>
        <v>0</v>
      </c>
      <c r="T57" s="628" cm="1">
        <f t="array" aca="1" ref="T57" ca="1">IF(AUTOEVENTO="Manual",ROUND(SUMPRODUCT((CÁLCULO!$M$15:$M$27=EVENTOS!$C57)*(OFFSET(CÁLCULO!$AA$15:$AA$27,0,T$13))),2),0)</f>
        <v>0</v>
      </c>
      <c r="U57" s="628" cm="1">
        <f t="array" aca="1" ref="U57" ca="1">IF(AUTOEVENTO="Manual",ROUND(SUMPRODUCT((CÁLCULO!$M$15:$M$27=EVENTOS!$C57)*(OFFSET(CÁLCULO!$AA$15:$AA$27,0,U$13))),2),0)</f>
        <v>0</v>
      </c>
      <c r="V57" s="628" cm="1">
        <f t="array" aca="1" ref="V57" ca="1">IF(AUTOEVENTO="Manual",ROUND(SUMPRODUCT((CÁLCULO!$M$15:$M$27=EVENTOS!$C57)*(OFFSET(CÁLCULO!$AA$15:$AA$27,0,V$13))),2),0)</f>
        <v>0</v>
      </c>
      <c r="W57" s="628" cm="1">
        <f t="array" aca="1" ref="W57" ca="1">IF(AUTOEVENTO="Manual",ROUND(SUMPRODUCT((CÁLCULO!$M$15:$M$27=EVENTOS!$C57)*(OFFSET(CÁLCULO!$AA$15:$AA$27,0,W$13))),2),0)</f>
        <v>0</v>
      </c>
      <c r="X57" s="628" cm="1">
        <f t="array" aca="1" ref="X57" ca="1">IF(AUTOEVENTO="Manual",ROUND(SUMPRODUCT((CÁLCULO!$M$15:$M$27=EVENTOS!$C57)*(OFFSET(CÁLCULO!$AA$15:$AA$27,0,X$13))),2),0)</f>
        <v>0</v>
      </c>
      <c r="Y57" s="628" cm="1">
        <f t="array" aca="1" ref="Y57" ca="1">IF(AUTOEVENTO="Manual",ROUND(SUMPRODUCT((CÁLCULO!$M$15:$M$27=EVENTOS!$C57)*(OFFSET(CÁLCULO!$AA$15:$AA$27,0,Y$13))),2),0)</f>
        <v>0</v>
      </c>
    </row>
    <row r="58" spans="1:25" x14ac:dyDescent="0.2">
      <c r="A58" s="507" t="str">
        <f t="shared" si="3"/>
        <v/>
      </c>
      <c r="B58" t="str">
        <f t="shared" ca="1" si="4"/>
        <v/>
      </c>
      <c r="C58" s="183" t="str" cm="1">
        <f t="array" aca="1" ref="C58" ca="1">IF(OR(ROW(C58)=ROW(EVENTOS.firstrow)+1,AND(OFFSET(C58,-1,0)&lt;&gt;" ",OFFSET(C58,-1,1)&lt;&gt;"")),OFFSET(C58,-1,0)+1," ")</f>
        <v xml:space="preserve"> </v>
      </c>
      <c r="D58" s="497"/>
      <c r="E58" s="628" cm="1">
        <f t="array" aca="1" ref="E58" ca="1">IF(AUTOEVENTO="Manual",ROUND(SUMPRODUCT((CÁLCULO!$M$15:$M$27=EVENTOS!$C58)*(OFFSET(CÁLCULO!$AA$15:$AA$27,0,E$13))),2),0)</f>
        <v>0</v>
      </c>
      <c r="F58" s="184">
        <f ca="1">IF(AUTOEVENTO="Manual",ROUND(SUMPRODUCT((CÁLCULO!$M$15:$M$27=EVENTOS!$C58)*(OFFSET(CÁLCULO!$AA$15,0,1):OFFSET(CÁLCULO!$AL$27,0,-1))),2),0)</f>
        <v>0</v>
      </c>
      <c r="G58" s="629" t="str">
        <f t="shared" ca="1" si="6"/>
        <v/>
      </c>
      <c r="H58" s="628" cm="1">
        <f t="array" aca="1" ref="H58" ca="1">IF(AUTOEVENTO="Manual",ROUND(SUMPRODUCT((CÁLCULO!$M$15:$M$27=EVENTOS!$C58)*(OFFSET(CÁLCULO!$AA$15:$AA$27,0,H$13))),2),0)</f>
        <v>0</v>
      </c>
      <c r="I58" s="628" cm="1">
        <f t="array" aca="1" ref="I58" ca="1">IF(AUTOEVENTO="Manual",ROUND(SUMPRODUCT((CÁLCULO!$M$15:$M$27=EVENTOS!$C58)*(OFFSET(CÁLCULO!$AA$15:$AA$27,0,I$13))),2),0)</f>
        <v>0</v>
      </c>
      <c r="J58" s="628" cm="1">
        <f t="array" aca="1" ref="J58" ca="1">IF(AUTOEVENTO="Manual",ROUND(SUMPRODUCT((CÁLCULO!$M$15:$M$27=EVENTOS!$C58)*(OFFSET(CÁLCULO!$AA$15:$AA$27,0,J$13))),2),0)</f>
        <v>0</v>
      </c>
      <c r="K58" s="628" cm="1">
        <f t="array" aca="1" ref="K58" ca="1">IF(AUTOEVENTO="Manual",ROUND(SUMPRODUCT((CÁLCULO!$M$15:$M$27=EVENTOS!$C58)*(OFFSET(CÁLCULO!$AA$15:$AA$27,0,K$13))),2),0)</f>
        <v>0</v>
      </c>
      <c r="L58" s="628" cm="1">
        <f t="array" aca="1" ref="L58" ca="1">IF(AUTOEVENTO="Manual",ROUND(SUMPRODUCT((CÁLCULO!$M$15:$M$27=EVENTOS!$C58)*(OFFSET(CÁLCULO!$AA$15:$AA$27,0,L$13))),2),0)</f>
        <v>0</v>
      </c>
      <c r="M58" s="628" cm="1">
        <f t="array" aca="1" ref="M58" ca="1">IF(AUTOEVENTO="Manual",ROUND(SUMPRODUCT((CÁLCULO!$M$15:$M$27=EVENTOS!$C58)*(OFFSET(CÁLCULO!$AA$15:$AA$27,0,M$13))),2),0)</f>
        <v>0</v>
      </c>
      <c r="N58" s="628" cm="1">
        <f t="array" aca="1" ref="N58" ca="1">IF(AUTOEVENTO="Manual",ROUND(SUMPRODUCT((CÁLCULO!$M$15:$M$27=EVENTOS!$C58)*(OFFSET(CÁLCULO!$AA$15:$AA$27,0,N$13))),2),0)</f>
        <v>0</v>
      </c>
      <c r="O58" s="628" cm="1">
        <f t="array" aca="1" ref="O58" ca="1">IF(AUTOEVENTO="Manual",ROUND(SUMPRODUCT((CÁLCULO!$M$15:$M$27=EVENTOS!$C58)*(OFFSET(CÁLCULO!$AA$15:$AA$27,0,O$13))),2),0)</f>
        <v>0</v>
      </c>
      <c r="P58" s="628" cm="1">
        <f t="array" aca="1" ref="P58" ca="1">IF(AUTOEVENTO="Manual",ROUND(SUMPRODUCT((CÁLCULO!$M$15:$M$27=EVENTOS!$C58)*(OFFSET(CÁLCULO!$AA$15:$AA$27,0,P$13))),2),0)</f>
        <v>0</v>
      </c>
      <c r="Q58" s="628" cm="1">
        <f t="array" aca="1" ref="Q58" ca="1">IF(AUTOEVENTO="Manual",ROUND(SUMPRODUCT((CÁLCULO!$M$15:$M$27=EVENTOS!$C58)*(OFFSET(CÁLCULO!$AA$15:$AA$27,0,Q$13))),2),0)</f>
        <v>0</v>
      </c>
      <c r="R58" s="628" cm="1">
        <f t="array" aca="1" ref="R58" ca="1">IF(AUTOEVENTO="Manual",ROUND(SUMPRODUCT((CÁLCULO!$M$15:$M$27=EVENTOS!$C58)*(OFFSET(CÁLCULO!$AA$15:$AA$27,0,R$13))),2),0)</f>
        <v>0</v>
      </c>
      <c r="S58" s="628" cm="1">
        <f t="array" aca="1" ref="S58" ca="1">IF(AUTOEVENTO="Manual",ROUND(SUMPRODUCT((CÁLCULO!$M$15:$M$27=EVENTOS!$C58)*(OFFSET(CÁLCULO!$AA$15:$AA$27,0,S$13))),2),0)</f>
        <v>0</v>
      </c>
      <c r="T58" s="628" cm="1">
        <f t="array" aca="1" ref="T58" ca="1">IF(AUTOEVENTO="Manual",ROUND(SUMPRODUCT((CÁLCULO!$M$15:$M$27=EVENTOS!$C58)*(OFFSET(CÁLCULO!$AA$15:$AA$27,0,T$13))),2),0)</f>
        <v>0</v>
      </c>
      <c r="U58" s="628" cm="1">
        <f t="array" aca="1" ref="U58" ca="1">IF(AUTOEVENTO="Manual",ROUND(SUMPRODUCT((CÁLCULO!$M$15:$M$27=EVENTOS!$C58)*(OFFSET(CÁLCULO!$AA$15:$AA$27,0,U$13))),2),0)</f>
        <v>0</v>
      </c>
      <c r="V58" s="628" cm="1">
        <f t="array" aca="1" ref="V58" ca="1">IF(AUTOEVENTO="Manual",ROUND(SUMPRODUCT((CÁLCULO!$M$15:$M$27=EVENTOS!$C58)*(OFFSET(CÁLCULO!$AA$15:$AA$27,0,V$13))),2),0)</f>
        <v>0</v>
      </c>
      <c r="W58" s="628" cm="1">
        <f t="array" aca="1" ref="W58" ca="1">IF(AUTOEVENTO="Manual",ROUND(SUMPRODUCT((CÁLCULO!$M$15:$M$27=EVENTOS!$C58)*(OFFSET(CÁLCULO!$AA$15:$AA$27,0,W$13))),2),0)</f>
        <v>0</v>
      </c>
      <c r="X58" s="628" cm="1">
        <f t="array" aca="1" ref="X58" ca="1">IF(AUTOEVENTO="Manual",ROUND(SUMPRODUCT((CÁLCULO!$M$15:$M$27=EVENTOS!$C58)*(OFFSET(CÁLCULO!$AA$15:$AA$27,0,X$13))),2),0)</f>
        <v>0</v>
      </c>
      <c r="Y58" s="628" cm="1">
        <f t="array" aca="1" ref="Y58" ca="1">IF(AUTOEVENTO="Manual",ROUND(SUMPRODUCT((CÁLCULO!$M$15:$M$27=EVENTOS!$C58)*(OFFSET(CÁLCULO!$AA$15:$AA$27,0,Y$13))),2),0)</f>
        <v>0</v>
      </c>
    </row>
    <row r="59" spans="1:25" x14ac:dyDescent="0.2">
      <c r="A59" s="507" t="str">
        <f t="shared" si="3"/>
        <v/>
      </c>
      <c r="B59" t="str">
        <f t="shared" ca="1" si="4"/>
        <v/>
      </c>
      <c r="C59" s="183" t="str" cm="1">
        <f t="array" aca="1" ref="C59" ca="1">IF(OR(ROW(C59)=ROW(EVENTOS.firstrow)+1,AND(OFFSET(C59,-1,0)&lt;&gt;" ",OFFSET(C59,-1,1)&lt;&gt;"")),OFFSET(C59,-1,0)+1," ")</f>
        <v xml:space="preserve"> </v>
      </c>
      <c r="D59" s="497"/>
      <c r="E59" s="628" cm="1">
        <f t="array" aca="1" ref="E59" ca="1">IF(AUTOEVENTO="Manual",ROUND(SUMPRODUCT((CÁLCULO!$M$15:$M$27=EVENTOS!$C59)*(OFFSET(CÁLCULO!$AA$15:$AA$27,0,E$13))),2),0)</f>
        <v>0</v>
      </c>
      <c r="F59" s="184">
        <f ca="1">IF(AUTOEVENTO="Manual",ROUND(SUMPRODUCT((CÁLCULO!$M$15:$M$27=EVENTOS!$C59)*(OFFSET(CÁLCULO!$AA$15,0,1):OFFSET(CÁLCULO!$AL$27,0,-1))),2),0)</f>
        <v>0</v>
      </c>
      <c r="G59" s="629" t="str">
        <f t="shared" ca="1" si="6"/>
        <v/>
      </c>
      <c r="H59" s="628" cm="1">
        <f t="array" aca="1" ref="H59" ca="1">IF(AUTOEVENTO="Manual",ROUND(SUMPRODUCT((CÁLCULO!$M$15:$M$27=EVENTOS!$C59)*(OFFSET(CÁLCULO!$AA$15:$AA$27,0,H$13))),2),0)</f>
        <v>0</v>
      </c>
      <c r="I59" s="628" cm="1">
        <f t="array" aca="1" ref="I59" ca="1">IF(AUTOEVENTO="Manual",ROUND(SUMPRODUCT((CÁLCULO!$M$15:$M$27=EVENTOS!$C59)*(OFFSET(CÁLCULO!$AA$15:$AA$27,0,I$13))),2),0)</f>
        <v>0</v>
      </c>
      <c r="J59" s="628" cm="1">
        <f t="array" aca="1" ref="J59" ca="1">IF(AUTOEVENTO="Manual",ROUND(SUMPRODUCT((CÁLCULO!$M$15:$M$27=EVENTOS!$C59)*(OFFSET(CÁLCULO!$AA$15:$AA$27,0,J$13))),2),0)</f>
        <v>0</v>
      </c>
      <c r="K59" s="628" cm="1">
        <f t="array" aca="1" ref="K59" ca="1">IF(AUTOEVENTO="Manual",ROUND(SUMPRODUCT((CÁLCULO!$M$15:$M$27=EVENTOS!$C59)*(OFFSET(CÁLCULO!$AA$15:$AA$27,0,K$13))),2),0)</f>
        <v>0</v>
      </c>
      <c r="L59" s="628" cm="1">
        <f t="array" aca="1" ref="L59" ca="1">IF(AUTOEVENTO="Manual",ROUND(SUMPRODUCT((CÁLCULO!$M$15:$M$27=EVENTOS!$C59)*(OFFSET(CÁLCULO!$AA$15:$AA$27,0,L$13))),2),0)</f>
        <v>0</v>
      </c>
      <c r="M59" s="628" cm="1">
        <f t="array" aca="1" ref="M59" ca="1">IF(AUTOEVENTO="Manual",ROUND(SUMPRODUCT((CÁLCULO!$M$15:$M$27=EVENTOS!$C59)*(OFFSET(CÁLCULO!$AA$15:$AA$27,0,M$13))),2),0)</f>
        <v>0</v>
      </c>
      <c r="N59" s="628" cm="1">
        <f t="array" aca="1" ref="N59" ca="1">IF(AUTOEVENTO="Manual",ROUND(SUMPRODUCT((CÁLCULO!$M$15:$M$27=EVENTOS!$C59)*(OFFSET(CÁLCULO!$AA$15:$AA$27,0,N$13))),2),0)</f>
        <v>0</v>
      </c>
      <c r="O59" s="628" cm="1">
        <f t="array" aca="1" ref="O59" ca="1">IF(AUTOEVENTO="Manual",ROUND(SUMPRODUCT((CÁLCULO!$M$15:$M$27=EVENTOS!$C59)*(OFFSET(CÁLCULO!$AA$15:$AA$27,0,O$13))),2),0)</f>
        <v>0</v>
      </c>
      <c r="P59" s="628" cm="1">
        <f t="array" aca="1" ref="P59" ca="1">IF(AUTOEVENTO="Manual",ROUND(SUMPRODUCT((CÁLCULO!$M$15:$M$27=EVENTOS!$C59)*(OFFSET(CÁLCULO!$AA$15:$AA$27,0,P$13))),2),0)</f>
        <v>0</v>
      </c>
      <c r="Q59" s="628" cm="1">
        <f t="array" aca="1" ref="Q59" ca="1">IF(AUTOEVENTO="Manual",ROUND(SUMPRODUCT((CÁLCULO!$M$15:$M$27=EVENTOS!$C59)*(OFFSET(CÁLCULO!$AA$15:$AA$27,0,Q$13))),2),0)</f>
        <v>0</v>
      </c>
      <c r="R59" s="628" cm="1">
        <f t="array" aca="1" ref="R59" ca="1">IF(AUTOEVENTO="Manual",ROUND(SUMPRODUCT((CÁLCULO!$M$15:$M$27=EVENTOS!$C59)*(OFFSET(CÁLCULO!$AA$15:$AA$27,0,R$13))),2),0)</f>
        <v>0</v>
      </c>
      <c r="S59" s="628" cm="1">
        <f t="array" aca="1" ref="S59" ca="1">IF(AUTOEVENTO="Manual",ROUND(SUMPRODUCT((CÁLCULO!$M$15:$M$27=EVENTOS!$C59)*(OFFSET(CÁLCULO!$AA$15:$AA$27,0,S$13))),2),0)</f>
        <v>0</v>
      </c>
      <c r="T59" s="628" cm="1">
        <f t="array" aca="1" ref="T59" ca="1">IF(AUTOEVENTO="Manual",ROUND(SUMPRODUCT((CÁLCULO!$M$15:$M$27=EVENTOS!$C59)*(OFFSET(CÁLCULO!$AA$15:$AA$27,0,T$13))),2),0)</f>
        <v>0</v>
      </c>
      <c r="U59" s="628" cm="1">
        <f t="array" aca="1" ref="U59" ca="1">IF(AUTOEVENTO="Manual",ROUND(SUMPRODUCT((CÁLCULO!$M$15:$M$27=EVENTOS!$C59)*(OFFSET(CÁLCULO!$AA$15:$AA$27,0,U$13))),2),0)</f>
        <v>0</v>
      </c>
      <c r="V59" s="628" cm="1">
        <f t="array" aca="1" ref="V59" ca="1">IF(AUTOEVENTO="Manual",ROUND(SUMPRODUCT((CÁLCULO!$M$15:$M$27=EVENTOS!$C59)*(OFFSET(CÁLCULO!$AA$15:$AA$27,0,V$13))),2),0)</f>
        <v>0</v>
      </c>
      <c r="W59" s="628" cm="1">
        <f t="array" aca="1" ref="W59" ca="1">IF(AUTOEVENTO="Manual",ROUND(SUMPRODUCT((CÁLCULO!$M$15:$M$27=EVENTOS!$C59)*(OFFSET(CÁLCULO!$AA$15:$AA$27,0,W$13))),2),0)</f>
        <v>0</v>
      </c>
      <c r="X59" s="628" cm="1">
        <f t="array" aca="1" ref="X59" ca="1">IF(AUTOEVENTO="Manual",ROUND(SUMPRODUCT((CÁLCULO!$M$15:$M$27=EVENTOS!$C59)*(OFFSET(CÁLCULO!$AA$15:$AA$27,0,X$13))),2),0)</f>
        <v>0</v>
      </c>
      <c r="Y59" s="628" cm="1">
        <f t="array" aca="1" ref="Y59" ca="1">IF(AUTOEVENTO="Manual",ROUND(SUMPRODUCT((CÁLCULO!$M$15:$M$27=EVENTOS!$C59)*(OFFSET(CÁLCULO!$AA$15:$AA$27,0,Y$13))),2),0)</f>
        <v>0</v>
      </c>
    </row>
    <row r="60" spans="1:25" x14ac:dyDescent="0.2">
      <c r="A60" s="507" t="str">
        <f t="shared" si="3"/>
        <v/>
      </c>
      <c r="B60" t="str">
        <f t="shared" ca="1" si="4"/>
        <v/>
      </c>
      <c r="C60" s="183" t="str" cm="1">
        <f t="array" aca="1" ref="C60" ca="1">IF(OR(ROW(C60)=ROW(EVENTOS.firstrow)+1,AND(OFFSET(C60,-1,0)&lt;&gt;" ",OFFSET(C60,-1,1)&lt;&gt;"")),OFFSET(C60,-1,0)+1," ")</f>
        <v xml:space="preserve"> </v>
      </c>
      <c r="D60" s="497"/>
      <c r="E60" s="628" cm="1">
        <f t="array" aca="1" ref="E60" ca="1">IF(AUTOEVENTO="Manual",ROUND(SUMPRODUCT((CÁLCULO!$M$15:$M$27=EVENTOS!$C60)*(OFFSET(CÁLCULO!$AA$15:$AA$27,0,E$13))),2),0)</f>
        <v>0</v>
      </c>
      <c r="F60" s="184">
        <f ca="1">IF(AUTOEVENTO="Manual",ROUND(SUMPRODUCT((CÁLCULO!$M$15:$M$27=EVENTOS!$C60)*(OFFSET(CÁLCULO!$AA$15,0,1):OFFSET(CÁLCULO!$AL$27,0,-1))),2),0)</f>
        <v>0</v>
      </c>
      <c r="G60" s="629" t="str">
        <f t="shared" ca="1" si="6"/>
        <v/>
      </c>
      <c r="H60" s="628" cm="1">
        <f t="array" aca="1" ref="H60" ca="1">IF(AUTOEVENTO="Manual",ROUND(SUMPRODUCT((CÁLCULO!$M$15:$M$27=EVENTOS!$C60)*(OFFSET(CÁLCULO!$AA$15:$AA$27,0,H$13))),2),0)</f>
        <v>0</v>
      </c>
      <c r="I60" s="628" cm="1">
        <f t="array" aca="1" ref="I60" ca="1">IF(AUTOEVENTO="Manual",ROUND(SUMPRODUCT((CÁLCULO!$M$15:$M$27=EVENTOS!$C60)*(OFFSET(CÁLCULO!$AA$15:$AA$27,0,I$13))),2),0)</f>
        <v>0</v>
      </c>
      <c r="J60" s="628" cm="1">
        <f t="array" aca="1" ref="J60" ca="1">IF(AUTOEVENTO="Manual",ROUND(SUMPRODUCT((CÁLCULO!$M$15:$M$27=EVENTOS!$C60)*(OFFSET(CÁLCULO!$AA$15:$AA$27,0,J$13))),2),0)</f>
        <v>0</v>
      </c>
      <c r="K60" s="628" cm="1">
        <f t="array" aca="1" ref="K60" ca="1">IF(AUTOEVENTO="Manual",ROUND(SUMPRODUCT((CÁLCULO!$M$15:$M$27=EVENTOS!$C60)*(OFFSET(CÁLCULO!$AA$15:$AA$27,0,K$13))),2),0)</f>
        <v>0</v>
      </c>
      <c r="L60" s="628" cm="1">
        <f t="array" aca="1" ref="L60" ca="1">IF(AUTOEVENTO="Manual",ROUND(SUMPRODUCT((CÁLCULO!$M$15:$M$27=EVENTOS!$C60)*(OFFSET(CÁLCULO!$AA$15:$AA$27,0,L$13))),2),0)</f>
        <v>0</v>
      </c>
      <c r="M60" s="628" cm="1">
        <f t="array" aca="1" ref="M60" ca="1">IF(AUTOEVENTO="Manual",ROUND(SUMPRODUCT((CÁLCULO!$M$15:$M$27=EVENTOS!$C60)*(OFFSET(CÁLCULO!$AA$15:$AA$27,0,M$13))),2),0)</f>
        <v>0</v>
      </c>
      <c r="N60" s="628" cm="1">
        <f t="array" aca="1" ref="N60" ca="1">IF(AUTOEVENTO="Manual",ROUND(SUMPRODUCT((CÁLCULO!$M$15:$M$27=EVENTOS!$C60)*(OFFSET(CÁLCULO!$AA$15:$AA$27,0,N$13))),2),0)</f>
        <v>0</v>
      </c>
      <c r="O60" s="628" cm="1">
        <f t="array" aca="1" ref="O60" ca="1">IF(AUTOEVENTO="Manual",ROUND(SUMPRODUCT((CÁLCULO!$M$15:$M$27=EVENTOS!$C60)*(OFFSET(CÁLCULO!$AA$15:$AA$27,0,O$13))),2),0)</f>
        <v>0</v>
      </c>
      <c r="P60" s="628" cm="1">
        <f t="array" aca="1" ref="P60" ca="1">IF(AUTOEVENTO="Manual",ROUND(SUMPRODUCT((CÁLCULO!$M$15:$M$27=EVENTOS!$C60)*(OFFSET(CÁLCULO!$AA$15:$AA$27,0,P$13))),2),0)</f>
        <v>0</v>
      </c>
      <c r="Q60" s="628" cm="1">
        <f t="array" aca="1" ref="Q60" ca="1">IF(AUTOEVENTO="Manual",ROUND(SUMPRODUCT((CÁLCULO!$M$15:$M$27=EVENTOS!$C60)*(OFFSET(CÁLCULO!$AA$15:$AA$27,0,Q$13))),2),0)</f>
        <v>0</v>
      </c>
      <c r="R60" s="628" cm="1">
        <f t="array" aca="1" ref="R60" ca="1">IF(AUTOEVENTO="Manual",ROUND(SUMPRODUCT((CÁLCULO!$M$15:$M$27=EVENTOS!$C60)*(OFFSET(CÁLCULO!$AA$15:$AA$27,0,R$13))),2),0)</f>
        <v>0</v>
      </c>
      <c r="S60" s="628" cm="1">
        <f t="array" aca="1" ref="S60" ca="1">IF(AUTOEVENTO="Manual",ROUND(SUMPRODUCT((CÁLCULO!$M$15:$M$27=EVENTOS!$C60)*(OFFSET(CÁLCULO!$AA$15:$AA$27,0,S$13))),2),0)</f>
        <v>0</v>
      </c>
      <c r="T60" s="628" cm="1">
        <f t="array" aca="1" ref="T60" ca="1">IF(AUTOEVENTO="Manual",ROUND(SUMPRODUCT((CÁLCULO!$M$15:$M$27=EVENTOS!$C60)*(OFFSET(CÁLCULO!$AA$15:$AA$27,0,T$13))),2),0)</f>
        <v>0</v>
      </c>
      <c r="U60" s="628" cm="1">
        <f t="array" aca="1" ref="U60" ca="1">IF(AUTOEVENTO="Manual",ROUND(SUMPRODUCT((CÁLCULO!$M$15:$M$27=EVENTOS!$C60)*(OFFSET(CÁLCULO!$AA$15:$AA$27,0,U$13))),2),0)</f>
        <v>0</v>
      </c>
      <c r="V60" s="628" cm="1">
        <f t="array" aca="1" ref="V60" ca="1">IF(AUTOEVENTO="Manual",ROUND(SUMPRODUCT((CÁLCULO!$M$15:$M$27=EVENTOS!$C60)*(OFFSET(CÁLCULO!$AA$15:$AA$27,0,V$13))),2),0)</f>
        <v>0</v>
      </c>
      <c r="W60" s="628" cm="1">
        <f t="array" aca="1" ref="W60" ca="1">IF(AUTOEVENTO="Manual",ROUND(SUMPRODUCT((CÁLCULO!$M$15:$M$27=EVENTOS!$C60)*(OFFSET(CÁLCULO!$AA$15:$AA$27,0,W$13))),2),0)</f>
        <v>0</v>
      </c>
      <c r="X60" s="628" cm="1">
        <f t="array" aca="1" ref="X60" ca="1">IF(AUTOEVENTO="Manual",ROUND(SUMPRODUCT((CÁLCULO!$M$15:$M$27=EVENTOS!$C60)*(OFFSET(CÁLCULO!$AA$15:$AA$27,0,X$13))),2),0)</f>
        <v>0</v>
      </c>
      <c r="Y60" s="628" cm="1">
        <f t="array" aca="1" ref="Y60" ca="1">IF(AUTOEVENTO="Manual",ROUND(SUMPRODUCT((CÁLCULO!$M$15:$M$27=EVENTOS!$C60)*(OFFSET(CÁLCULO!$AA$15:$AA$27,0,Y$13))),2),0)</f>
        <v>0</v>
      </c>
    </row>
    <row r="61" spans="1:25" x14ac:dyDescent="0.2">
      <c r="A61" s="507" t="str">
        <f t="shared" si="3"/>
        <v/>
      </c>
      <c r="B61" t="str">
        <f t="shared" ca="1" si="4"/>
        <v/>
      </c>
      <c r="C61" s="183" t="str" cm="1">
        <f t="array" aca="1" ref="C61" ca="1">IF(OR(ROW(C61)=ROW(EVENTOS.firstrow)+1,AND(OFFSET(C61,-1,0)&lt;&gt;" ",OFFSET(C61,-1,1)&lt;&gt;"")),OFFSET(C61,-1,0)+1," ")</f>
        <v xml:space="preserve"> </v>
      </c>
      <c r="D61" s="497"/>
      <c r="E61" s="628" cm="1">
        <f t="array" aca="1" ref="E61" ca="1">IF(AUTOEVENTO="Manual",ROUND(SUMPRODUCT((CÁLCULO!$M$15:$M$27=EVENTOS!$C61)*(OFFSET(CÁLCULO!$AA$15:$AA$27,0,E$13))),2),0)</f>
        <v>0</v>
      </c>
      <c r="F61" s="184">
        <f ca="1">IF(AUTOEVENTO="Manual",ROUND(SUMPRODUCT((CÁLCULO!$M$15:$M$27=EVENTOS!$C61)*(OFFSET(CÁLCULO!$AA$15,0,1):OFFSET(CÁLCULO!$AL$27,0,-1))),2),0)</f>
        <v>0</v>
      </c>
      <c r="G61" s="629" t="str">
        <f t="shared" ca="1" si="6"/>
        <v/>
      </c>
      <c r="H61" s="628" cm="1">
        <f t="array" aca="1" ref="H61" ca="1">IF(AUTOEVENTO="Manual",ROUND(SUMPRODUCT((CÁLCULO!$M$15:$M$27=EVENTOS!$C61)*(OFFSET(CÁLCULO!$AA$15:$AA$27,0,H$13))),2),0)</f>
        <v>0</v>
      </c>
      <c r="I61" s="628" cm="1">
        <f t="array" aca="1" ref="I61" ca="1">IF(AUTOEVENTO="Manual",ROUND(SUMPRODUCT((CÁLCULO!$M$15:$M$27=EVENTOS!$C61)*(OFFSET(CÁLCULO!$AA$15:$AA$27,0,I$13))),2),0)</f>
        <v>0</v>
      </c>
      <c r="J61" s="628" cm="1">
        <f t="array" aca="1" ref="J61" ca="1">IF(AUTOEVENTO="Manual",ROUND(SUMPRODUCT((CÁLCULO!$M$15:$M$27=EVENTOS!$C61)*(OFFSET(CÁLCULO!$AA$15:$AA$27,0,J$13))),2),0)</f>
        <v>0</v>
      </c>
      <c r="K61" s="628" cm="1">
        <f t="array" aca="1" ref="K61" ca="1">IF(AUTOEVENTO="Manual",ROUND(SUMPRODUCT((CÁLCULO!$M$15:$M$27=EVENTOS!$C61)*(OFFSET(CÁLCULO!$AA$15:$AA$27,0,K$13))),2),0)</f>
        <v>0</v>
      </c>
      <c r="L61" s="628" cm="1">
        <f t="array" aca="1" ref="L61" ca="1">IF(AUTOEVENTO="Manual",ROUND(SUMPRODUCT((CÁLCULO!$M$15:$M$27=EVENTOS!$C61)*(OFFSET(CÁLCULO!$AA$15:$AA$27,0,L$13))),2),0)</f>
        <v>0</v>
      </c>
      <c r="M61" s="628" cm="1">
        <f t="array" aca="1" ref="M61" ca="1">IF(AUTOEVENTO="Manual",ROUND(SUMPRODUCT((CÁLCULO!$M$15:$M$27=EVENTOS!$C61)*(OFFSET(CÁLCULO!$AA$15:$AA$27,0,M$13))),2),0)</f>
        <v>0</v>
      </c>
      <c r="N61" s="628" cm="1">
        <f t="array" aca="1" ref="N61" ca="1">IF(AUTOEVENTO="Manual",ROUND(SUMPRODUCT((CÁLCULO!$M$15:$M$27=EVENTOS!$C61)*(OFFSET(CÁLCULO!$AA$15:$AA$27,0,N$13))),2),0)</f>
        <v>0</v>
      </c>
      <c r="O61" s="628" cm="1">
        <f t="array" aca="1" ref="O61" ca="1">IF(AUTOEVENTO="Manual",ROUND(SUMPRODUCT((CÁLCULO!$M$15:$M$27=EVENTOS!$C61)*(OFFSET(CÁLCULO!$AA$15:$AA$27,0,O$13))),2),0)</f>
        <v>0</v>
      </c>
      <c r="P61" s="628" cm="1">
        <f t="array" aca="1" ref="P61" ca="1">IF(AUTOEVENTO="Manual",ROUND(SUMPRODUCT((CÁLCULO!$M$15:$M$27=EVENTOS!$C61)*(OFFSET(CÁLCULO!$AA$15:$AA$27,0,P$13))),2),0)</f>
        <v>0</v>
      </c>
      <c r="Q61" s="628" cm="1">
        <f t="array" aca="1" ref="Q61" ca="1">IF(AUTOEVENTO="Manual",ROUND(SUMPRODUCT((CÁLCULO!$M$15:$M$27=EVENTOS!$C61)*(OFFSET(CÁLCULO!$AA$15:$AA$27,0,Q$13))),2),0)</f>
        <v>0</v>
      </c>
      <c r="R61" s="628" cm="1">
        <f t="array" aca="1" ref="R61" ca="1">IF(AUTOEVENTO="Manual",ROUND(SUMPRODUCT((CÁLCULO!$M$15:$M$27=EVENTOS!$C61)*(OFFSET(CÁLCULO!$AA$15:$AA$27,0,R$13))),2),0)</f>
        <v>0</v>
      </c>
      <c r="S61" s="628" cm="1">
        <f t="array" aca="1" ref="S61" ca="1">IF(AUTOEVENTO="Manual",ROUND(SUMPRODUCT((CÁLCULO!$M$15:$M$27=EVENTOS!$C61)*(OFFSET(CÁLCULO!$AA$15:$AA$27,0,S$13))),2),0)</f>
        <v>0</v>
      </c>
      <c r="T61" s="628" cm="1">
        <f t="array" aca="1" ref="T61" ca="1">IF(AUTOEVENTO="Manual",ROUND(SUMPRODUCT((CÁLCULO!$M$15:$M$27=EVENTOS!$C61)*(OFFSET(CÁLCULO!$AA$15:$AA$27,0,T$13))),2),0)</f>
        <v>0</v>
      </c>
      <c r="U61" s="628" cm="1">
        <f t="array" aca="1" ref="U61" ca="1">IF(AUTOEVENTO="Manual",ROUND(SUMPRODUCT((CÁLCULO!$M$15:$M$27=EVENTOS!$C61)*(OFFSET(CÁLCULO!$AA$15:$AA$27,0,U$13))),2),0)</f>
        <v>0</v>
      </c>
      <c r="V61" s="628" cm="1">
        <f t="array" aca="1" ref="V61" ca="1">IF(AUTOEVENTO="Manual",ROUND(SUMPRODUCT((CÁLCULO!$M$15:$M$27=EVENTOS!$C61)*(OFFSET(CÁLCULO!$AA$15:$AA$27,0,V$13))),2),0)</f>
        <v>0</v>
      </c>
      <c r="W61" s="628" cm="1">
        <f t="array" aca="1" ref="W61" ca="1">IF(AUTOEVENTO="Manual",ROUND(SUMPRODUCT((CÁLCULO!$M$15:$M$27=EVENTOS!$C61)*(OFFSET(CÁLCULO!$AA$15:$AA$27,0,W$13))),2),0)</f>
        <v>0</v>
      </c>
      <c r="X61" s="628" cm="1">
        <f t="array" aca="1" ref="X61" ca="1">IF(AUTOEVENTO="Manual",ROUND(SUMPRODUCT((CÁLCULO!$M$15:$M$27=EVENTOS!$C61)*(OFFSET(CÁLCULO!$AA$15:$AA$27,0,X$13))),2),0)</f>
        <v>0</v>
      </c>
      <c r="Y61" s="628" cm="1">
        <f t="array" aca="1" ref="Y61" ca="1">IF(AUTOEVENTO="Manual",ROUND(SUMPRODUCT((CÁLCULO!$M$15:$M$27=EVENTOS!$C61)*(OFFSET(CÁLCULO!$AA$15:$AA$27,0,Y$13))),2),0)</f>
        <v>0</v>
      </c>
    </row>
    <row r="62" spans="1:25" x14ac:dyDescent="0.2">
      <c r="A62" s="507" t="str">
        <f t="shared" si="3"/>
        <v/>
      </c>
      <c r="B62" t="str">
        <f t="shared" ca="1" si="4"/>
        <v/>
      </c>
      <c r="C62" s="183" t="str" cm="1">
        <f t="array" aca="1" ref="C62" ca="1">IF(OR(ROW(C62)=ROW(EVENTOS.firstrow)+1,AND(OFFSET(C62,-1,0)&lt;&gt;" ",OFFSET(C62,-1,1)&lt;&gt;"")),OFFSET(C62,-1,0)+1," ")</f>
        <v xml:space="preserve"> </v>
      </c>
      <c r="D62" s="497"/>
      <c r="E62" s="628" cm="1">
        <f t="array" aca="1" ref="E62" ca="1">IF(AUTOEVENTO="Manual",ROUND(SUMPRODUCT((CÁLCULO!$M$15:$M$27=EVENTOS!$C62)*(OFFSET(CÁLCULO!$AA$15:$AA$27,0,E$13))),2),0)</f>
        <v>0</v>
      </c>
      <c r="F62" s="184">
        <f ca="1">IF(AUTOEVENTO="Manual",ROUND(SUMPRODUCT((CÁLCULO!$M$15:$M$27=EVENTOS!$C62)*(OFFSET(CÁLCULO!$AA$15,0,1):OFFSET(CÁLCULO!$AL$27,0,-1))),2),0)</f>
        <v>0</v>
      </c>
      <c r="G62" s="629" t="str">
        <f t="shared" ca="1" si="6"/>
        <v/>
      </c>
      <c r="H62" s="628" cm="1">
        <f t="array" aca="1" ref="H62" ca="1">IF(AUTOEVENTO="Manual",ROUND(SUMPRODUCT((CÁLCULO!$M$15:$M$27=EVENTOS!$C62)*(OFFSET(CÁLCULO!$AA$15:$AA$27,0,H$13))),2),0)</f>
        <v>0</v>
      </c>
      <c r="I62" s="628" cm="1">
        <f t="array" aca="1" ref="I62" ca="1">IF(AUTOEVENTO="Manual",ROUND(SUMPRODUCT((CÁLCULO!$M$15:$M$27=EVENTOS!$C62)*(OFFSET(CÁLCULO!$AA$15:$AA$27,0,I$13))),2),0)</f>
        <v>0</v>
      </c>
      <c r="J62" s="628" cm="1">
        <f t="array" aca="1" ref="J62" ca="1">IF(AUTOEVENTO="Manual",ROUND(SUMPRODUCT((CÁLCULO!$M$15:$M$27=EVENTOS!$C62)*(OFFSET(CÁLCULO!$AA$15:$AA$27,0,J$13))),2),0)</f>
        <v>0</v>
      </c>
      <c r="K62" s="628" cm="1">
        <f t="array" aca="1" ref="K62" ca="1">IF(AUTOEVENTO="Manual",ROUND(SUMPRODUCT((CÁLCULO!$M$15:$M$27=EVENTOS!$C62)*(OFFSET(CÁLCULO!$AA$15:$AA$27,0,K$13))),2),0)</f>
        <v>0</v>
      </c>
      <c r="L62" s="628" cm="1">
        <f t="array" aca="1" ref="L62" ca="1">IF(AUTOEVENTO="Manual",ROUND(SUMPRODUCT((CÁLCULO!$M$15:$M$27=EVENTOS!$C62)*(OFFSET(CÁLCULO!$AA$15:$AA$27,0,L$13))),2),0)</f>
        <v>0</v>
      </c>
      <c r="M62" s="628" cm="1">
        <f t="array" aca="1" ref="M62" ca="1">IF(AUTOEVENTO="Manual",ROUND(SUMPRODUCT((CÁLCULO!$M$15:$M$27=EVENTOS!$C62)*(OFFSET(CÁLCULO!$AA$15:$AA$27,0,M$13))),2),0)</f>
        <v>0</v>
      </c>
      <c r="N62" s="628" cm="1">
        <f t="array" aca="1" ref="N62" ca="1">IF(AUTOEVENTO="Manual",ROUND(SUMPRODUCT((CÁLCULO!$M$15:$M$27=EVENTOS!$C62)*(OFFSET(CÁLCULO!$AA$15:$AA$27,0,N$13))),2),0)</f>
        <v>0</v>
      </c>
      <c r="O62" s="628" cm="1">
        <f t="array" aca="1" ref="O62" ca="1">IF(AUTOEVENTO="Manual",ROUND(SUMPRODUCT((CÁLCULO!$M$15:$M$27=EVENTOS!$C62)*(OFFSET(CÁLCULO!$AA$15:$AA$27,0,O$13))),2),0)</f>
        <v>0</v>
      </c>
      <c r="P62" s="628" cm="1">
        <f t="array" aca="1" ref="P62" ca="1">IF(AUTOEVENTO="Manual",ROUND(SUMPRODUCT((CÁLCULO!$M$15:$M$27=EVENTOS!$C62)*(OFFSET(CÁLCULO!$AA$15:$AA$27,0,P$13))),2),0)</f>
        <v>0</v>
      </c>
      <c r="Q62" s="628" cm="1">
        <f t="array" aca="1" ref="Q62" ca="1">IF(AUTOEVENTO="Manual",ROUND(SUMPRODUCT((CÁLCULO!$M$15:$M$27=EVENTOS!$C62)*(OFFSET(CÁLCULO!$AA$15:$AA$27,0,Q$13))),2),0)</f>
        <v>0</v>
      </c>
      <c r="R62" s="628" cm="1">
        <f t="array" aca="1" ref="R62" ca="1">IF(AUTOEVENTO="Manual",ROUND(SUMPRODUCT((CÁLCULO!$M$15:$M$27=EVENTOS!$C62)*(OFFSET(CÁLCULO!$AA$15:$AA$27,0,R$13))),2),0)</f>
        <v>0</v>
      </c>
      <c r="S62" s="628" cm="1">
        <f t="array" aca="1" ref="S62" ca="1">IF(AUTOEVENTO="Manual",ROUND(SUMPRODUCT((CÁLCULO!$M$15:$M$27=EVENTOS!$C62)*(OFFSET(CÁLCULO!$AA$15:$AA$27,0,S$13))),2),0)</f>
        <v>0</v>
      </c>
      <c r="T62" s="628" cm="1">
        <f t="array" aca="1" ref="T62" ca="1">IF(AUTOEVENTO="Manual",ROUND(SUMPRODUCT((CÁLCULO!$M$15:$M$27=EVENTOS!$C62)*(OFFSET(CÁLCULO!$AA$15:$AA$27,0,T$13))),2),0)</f>
        <v>0</v>
      </c>
      <c r="U62" s="628" cm="1">
        <f t="array" aca="1" ref="U62" ca="1">IF(AUTOEVENTO="Manual",ROUND(SUMPRODUCT((CÁLCULO!$M$15:$M$27=EVENTOS!$C62)*(OFFSET(CÁLCULO!$AA$15:$AA$27,0,U$13))),2),0)</f>
        <v>0</v>
      </c>
      <c r="V62" s="628" cm="1">
        <f t="array" aca="1" ref="V62" ca="1">IF(AUTOEVENTO="Manual",ROUND(SUMPRODUCT((CÁLCULO!$M$15:$M$27=EVENTOS!$C62)*(OFFSET(CÁLCULO!$AA$15:$AA$27,0,V$13))),2),0)</f>
        <v>0</v>
      </c>
      <c r="W62" s="628" cm="1">
        <f t="array" aca="1" ref="W62" ca="1">IF(AUTOEVENTO="Manual",ROUND(SUMPRODUCT((CÁLCULO!$M$15:$M$27=EVENTOS!$C62)*(OFFSET(CÁLCULO!$AA$15:$AA$27,0,W$13))),2),0)</f>
        <v>0</v>
      </c>
      <c r="X62" s="628" cm="1">
        <f t="array" aca="1" ref="X62" ca="1">IF(AUTOEVENTO="Manual",ROUND(SUMPRODUCT((CÁLCULO!$M$15:$M$27=EVENTOS!$C62)*(OFFSET(CÁLCULO!$AA$15:$AA$27,0,X$13))),2),0)</f>
        <v>0</v>
      </c>
      <c r="Y62" s="628" cm="1">
        <f t="array" aca="1" ref="Y62" ca="1">IF(AUTOEVENTO="Manual",ROUND(SUMPRODUCT((CÁLCULO!$M$15:$M$27=EVENTOS!$C62)*(OFFSET(CÁLCULO!$AA$15:$AA$27,0,Y$13))),2),0)</f>
        <v>0</v>
      </c>
    </row>
    <row r="63" spans="1:25" x14ac:dyDescent="0.2">
      <c r="A63" s="507" t="str">
        <f t="shared" si="3"/>
        <v/>
      </c>
      <c r="B63" t="str">
        <f t="shared" ca="1" si="4"/>
        <v/>
      </c>
      <c r="C63" s="183" t="str" cm="1">
        <f t="array" aca="1" ref="C63" ca="1">IF(OR(ROW(C63)=ROW(EVENTOS.firstrow)+1,AND(OFFSET(C63,-1,0)&lt;&gt;" ",OFFSET(C63,-1,1)&lt;&gt;"")),OFFSET(C63,-1,0)+1," ")</f>
        <v xml:space="preserve"> </v>
      </c>
      <c r="D63" s="497"/>
      <c r="E63" s="628" cm="1">
        <f t="array" aca="1" ref="E63" ca="1">IF(AUTOEVENTO="Manual",ROUND(SUMPRODUCT((CÁLCULO!$M$15:$M$27=EVENTOS!$C63)*(OFFSET(CÁLCULO!$AA$15:$AA$27,0,E$13))),2),0)</f>
        <v>0</v>
      </c>
      <c r="F63" s="184">
        <f ca="1">IF(AUTOEVENTO="Manual",ROUND(SUMPRODUCT((CÁLCULO!$M$15:$M$27=EVENTOS!$C63)*(OFFSET(CÁLCULO!$AA$15,0,1):OFFSET(CÁLCULO!$AL$27,0,-1))),2),0)</f>
        <v>0</v>
      </c>
      <c r="G63" s="629" t="str">
        <f t="shared" ca="1" si="6"/>
        <v/>
      </c>
      <c r="H63" s="628" cm="1">
        <f t="array" aca="1" ref="H63" ca="1">IF(AUTOEVENTO="Manual",ROUND(SUMPRODUCT((CÁLCULO!$M$15:$M$27=EVENTOS!$C63)*(OFFSET(CÁLCULO!$AA$15:$AA$27,0,H$13))),2),0)</f>
        <v>0</v>
      </c>
      <c r="I63" s="628" cm="1">
        <f t="array" aca="1" ref="I63" ca="1">IF(AUTOEVENTO="Manual",ROUND(SUMPRODUCT((CÁLCULO!$M$15:$M$27=EVENTOS!$C63)*(OFFSET(CÁLCULO!$AA$15:$AA$27,0,I$13))),2),0)</f>
        <v>0</v>
      </c>
      <c r="J63" s="628" cm="1">
        <f t="array" aca="1" ref="J63" ca="1">IF(AUTOEVENTO="Manual",ROUND(SUMPRODUCT((CÁLCULO!$M$15:$M$27=EVENTOS!$C63)*(OFFSET(CÁLCULO!$AA$15:$AA$27,0,J$13))),2),0)</f>
        <v>0</v>
      </c>
      <c r="K63" s="628" cm="1">
        <f t="array" aca="1" ref="K63" ca="1">IF(AUTOEVENTO="Manual",ROUND(SUMPRODUCT((CÁLCULO!$M$15:$M$27=EVENTOS!$C63)*(OFFSET(CÁLCULO!$AA$15:$AA$27,0,K$13))),2),0)</f>
        <v>0</v>
      </c>
      <c r="L63" s="628" cm="1">
        <f t="array" aca="1" ref="L63" ca="1">IF(AUTOEVENTO="Manual",ROUND(SUMPRODUCT((CÁLCULO!$M$15:$M$27=EVENTOS!$C63)*(OFFSET(CÁLCULO!$AA$15:$AA$27,0,L$13))),2),0)</f>
        <v>0</v>
      </c>
      <c r="M63" s="628" cm="1">
        <f t="array" aca="1" ref="M63" ca="1">IF(AUTOEVENTO="Manual",ROUND(SUMPRODUCT((CÁLCULO!$M$15:$M$27=EVENTOS!$C63)*(OFFSET(CÁLCULO!$AA$15:$AA$27,0,M$13))),2),0)</f>
        <v>0</v>
      </c>
      <c r="N63" s="628" cm="1">
        <f t="array" aca="1" ref="N63" ca="1">IF(AUTOEVENTO="Manual",ROUND(SUMPRODUCT((CÁLCULO!$M$15:$M$27=EVENTOS!$C63)*(OFFSET(CÁLCULO!$AA$15:$AA$27,0,N$13))),2),0)</f>
        <v>0</v>
      </c>
      <c r="O63" s="628" cm="1">
        <f t="array" aca="1" ref="O63" ca="1">IF(AUTOEVENTO="Manual",ROUND(SUMPRODUCT((CÁLCULO!$M$15:$M$27=EVENTOS!$C63)*(OFFSET(CÁLCULO!$AA$15:$AA$27,0,O$13))),2),0)</f>
        <v>0</v>
      </c>
      <c r="P63" s="628" cm="1">
        <f t="array" aca="1" ref="P63" ca="1">IF(AUTOEVENTO="Manual",ROUND(SUMPRODUCT((CÁLCULO!$M$15:$M$27=EVENTOS!$C63)*(OFFSET(CÁLCULO!$AA$15:$AA$27,0,P$13))),2),0)</f>
        <v>0</v>
      </c>
      <c r="Q63" s="628" cm="1">
        <f t="array" aca="1" ref="Q63" ca="1">IF(AUTOEVENTO="Manual",ROUND(SUMPRODUCT((CÁLCULO!$M$15:$M$27=EVENTOS!$C63)*(OFFSET(CÁLCULO!$AA$15:$AA$27,0,Q$13))),2),0)</f>
        <v>0</v>
      </c>
      <c r="R63" s="628" cm="1">
        <f t="array" aca="1" ref="R63" ca="1">IF(AUTOEVENTO="Manual",ROUND(SUMPRODUCT((CÁLCULO!$M$15:$M$27=EVENTOS!$C63)*(OFFSET(CÁLCULO!$AA$15:$AA$27,0,R$13))),2),0)</f>
        <v>0</v>
      </c>
      <c r="S63" s="628" cm="1">
        <f t="array" aca="1" ref="S63" ca="1">IF(AUTOEVENTO="Manual",ROUND(SUMPRODUCT((CÁLCULO!$M$15:$M$27=EVENTOS!$C63)*(OFFSET(CÁLCULO!$AA$15:$AA$27,0,S$13))),2),0)</f>
        <v>0</v>
      </c>
      <c r="T63" s="628" cm="1">
        <f t="array" aca="1" ref="T63" ca="1">IF(AUTOEVENTO="Manual",ROUND(SUMPRODUCT((CÁLCULO!$M$15:$M$27=EVENTOS!$C63)*(OFFSET(CÁLCULO!$AA$15:$AA$27,0,T$13))),2),0)</f>
        <v>0</v>
      </c>
      <c r="U63" s="628" cm="1">
        <f t="array" aca="1" ref="U63" ca="1">IF(AUTOEVENTO="Manual",ROUND(SUMPRODUCT((CÁLCULO!$M$15:$M$27=EVENTOS!$C63)*(OFFSET(CÁLCULO!$AA$15:$AA$27,0,U$13))),2),0)</f>
        <v>0</v>
      </c>
      <c r="V63" s="628" cm="1">
        <f t="array" aca="1" ref="V63" ca="1">IF(AUTOEVENTO="Manual",ROUND(SUMPRODUCT((CÁLCULO!$M$15:$M$27=EVENTOS!$C63)*(OFFSET(CÁLCULO!$AA$15:$AA$27,0,V$13))),2),0)</f>
        <v>0</v>
      </c>
      <c r="W63" s="628" cm="1">
        <f t="array" aca="1" ref="W63" ca="1">IF(AUTOEVENTO="Manual",ROUND(SUMPRODUCT((CÁLCULO!$M$15:$M$27=EVENTOS!$C63)*(OFFSET(CÁLCULO!$AA$15:$AA$27,0,W$13))),2),0)</f>
        <v>0</v>
      </c>
      <c r="X63" s="628" cm="1">
        <f t="array" aca="1" ref="X63" ca="1">IF(AUTOEVENTO="Manual",ROUND(SUMPRODUCT((CÁLCULO!$M$15:$M$27=EVENTOS!$C63)*(OFFSET(CÁLCULO!$AA$15:$AA$27,0,X$13))),2),0)</f>
        <v>0</v>
      </c>
      <c r="Y63" s="628" cm="1">
        <f t="array" aca="1" ref="Y63" ca="1">IF(AUTOEVENTO="Manual",ROUND(SUMPRODUCT((CÁLCULO!$M$15:$M$27=EVENTOS!$C63)*(OFFSET(CÁLCULO!$AA$15:$AA$27,0,Y$13))),2),0)</f>
        <v>0</v>
      </c>
    </row>
    <row r="64" spans="1:25" x14ac:dyDescent="0.2">
      <c r="A64" s="507" t="str">
        <f t="shared" si="3"/>
        <v/>
      </c>
      <c r="B64" t="str">
        <f t="shared" ca="1" si="4"/>
        <v/>
      </c>
      <c r="C64" s="183" t="str" cm="1">
        <f t="array" aca="1" ref="C64" ca="1">IF(OR(ROW(C64)=ROW(EVENTOS.firstrow)+1,AND(OFFSET(C64,-1,0)&lt;&gt;" ",OFFSET(C64,-1,1)&lt;&gt;"")),OFFSET(C64,-1,0)+1," ")</f>
        <v xml:space="preserve"> </v>
      </c>
      <c r="D64" s="497"/>
      <c r="E64" s="628" cm="1">
        <f t="array" aca="1" ref="E64" ca="1">IF(AUTOEVENTO="Manual",ROUND(SUMPRODUCT((CÁLCULO!$M$15:$M$27=EVENTOS!$C64)*(OFFSET(CÁLCULO!$AA$15:$AA$27,0,E$13))),2),0)</f>
        <v>0</v>
      </c>
      <c r="F64" s="184">
        <f ca="1">IF(AUTOEVENTO="Manual",ROUND(SUMPRODUCT((CÁLCULO!$M$15:$M$27=EVENTOS!$C64)*(OFFSET(CÁLCULO!$AA$15,0,1):OFFSET(CÁLCULO!$AL$27,0,-1))),2),0)</f>
        <v>0</v>
      </c>
      <c r="G64" s="629" t="str">
        <f t="shared" ca="1" si="6"/>
        <v/>
      </c>
      <c r="H64" s="628" cm="1">
        <f t="array" aca="1" ref="H64" ca="1">IF(AUTOEVENTO="Manual",ROUND(SUMPRODUCT((CÁLCULO!$M$15:$M$27=EVENTOS!$C64)*(OFFSET(CÁLCULO!$AA$15:$AA$27,0,H$13))),2),0)</f>
        <v>0</v>
      </c>
      <c r="I64" s="628" cm="1">
        <f t="array" aca="1" ref="I64" ca="1">IF(AUTOEVENTO="Manual",ROUND(SUMPRODUCT((CÁLCULO!$M$15:$M$27=EVENTOS!$C64)*(OFFSET(CÁLCULO!$AA$15:$AA$27,0,I$13))),2),0)</f>
        <v>0</v>
      </c>
      <c r="J64" s="628" cm="1">
        <f t="array" aca="1" ref="J64" ca="1">IF(AUTOEVENTO="Manual",ROUND(SUMPRODUCT((CÁLCULO!$M$15:$M$27=EVENTOS!$C64)*(OFFSET(CÁLCULO!$AA$15:$AA$27,0,J$13))),2),0)</f>
        <v>0</v>
      </c>
      <c r="K64" s="628" cm="1">
        <f t="array" aca="1" ref="K64" ca="1">IF(AUTOEVENTO="Manual",ROUND(SUMPRODUCT((CÁLCULO!$M$15:$M$27=EVENTOS!$C64)*(OFFSET(CÁLCULO!$AA$15:$AA$27,0,K$13))),2),0)</f>
        <v>0</v>
      </c>
      <c r="L64" s="628" cm="1">
        <f t="array" aca="1" ref="L64" ca="1">IF(AUTOEVENTO="Manual",ROUND(SUMPRODUCT((CÁLCULO!$M$15:$M$27=EVENTOS!$C64)*(OFFSET(CÁLCULO!$AA$15:$AA$27,0,L$13))),2),0)</f>
        <v>0</v>
      </c>
      <c r="M64" s="628" cm="1">
        <f t="array" aca="1" ref="M64" ca="1">IF(AUTOEVENTO="Manual",ROUND(SUMPRODUCT((CÁLCULO!$M$15:$M$27=EVENTOS!$C64)*(OFFSET(CÁLCULO!$AA$15:$AA$27,0,M$13))),2),0)</f>
        <v>0</v>
      </c>
      <c r="N64" s="628" cm="1">
        <f t="array" aca="1" ref="N64" ca="1">IF(AUTOEVENTO="Manual",ROUND(SUMPRODUCT((CÁLCULO!$M$15:$M$27=EVENTOS!$C64)*(OFFSET(CÁLCULO!$AA$15:$AA$27,0,N$13))),2),0)</f>
        <v>0</v>
      </c>
      <c r="O64" s="628" cm="1">
        <f t="array" aca="1" ref="O64" ca="1">IF(AUTOEVENTO="Manual",ROUND(SUMPRODUCT((CÁLCULO!$M$15:$M$27=EVENTOS!$C64)*(OFFSET(CÁLCULO!$AA$15:$AA$27,0,O$13))),2),0)</f>
        <v>0</v>
      </c>
      <c r="P64" s="628" cm="1">
        <f t="array" aca="1" ref="P64" ca="1">IF(AUTOEVENTO="Manual",ROUND(SUMPRODUCT((CÁLCULO!$M$15:$M$27=EVENTOS!$C64)*(OFFSET(CÁLCULO!$AA$15:$AA$27,0,P$13))),2),0)</f>
        <v>0</v>
      </c>
      <c r="Q64" s="628" cm="1">
        <f t="array" aca="1" ref="Q64" ca="1">IF(AUTOEVENTO="Manual",ROUND(SUMPRODUCT((CÁLCULO!$M$15:$M$27=EVENTOS!$C64)*(OFFSET(CÁLCULO!$AA$15:$AA$27,0,Q$13))),2),0)</f>
        <v>0</v>
      </c>
      <c r="R64" s="628" cm="1">
        <f t="array" aca="1" ref="R64" ca="1">IF(AUTOEVENTO="Manual",ROUND(SUMPRODUCT((CÁLCULO!$M$15:$M$27=EVENTOS!$C64)*(OFFSET(CÁLCULO!$AA$15:$AA$27,0,R$13))),2),0)</f>
        <v>0</v>
      </c>
      <c r="S64" s="628" cm="1">
        <f t="array" aca="1" ref="S64" ca="1">IF(AUTOEVENTO="Manual",ROUND(SUMPRODUCT((CÁLCULO!$M$15:$M$27=EVENTOS!$C64)*(OFFSET(CÁLCULO!$AA$15:$AA$27,0,S$13))),2),0)</f>
        <v>0</v>
      </c>
      <c r="T64" s="628" cm="1">
        <f t="array" aca="1" ref="T64" ca="1">IF(AUTOEVENTO="Manual",ROUND(SUMPRODUCT((CÁLCULO!$M$15:$M$27=EVENTOS!$C64)*(OFFSET(CÁLCULO!$AA$15:$AA$27,0,T$13))),2),0)</f>
        <v>0</v>
      </c>
      <c r="U64" s="628" cm="1">
        <f t="array" aca="1" ref="U64" ca="1">IF(AUTOEVENTO="Manual",ROUND(SUMPRODUCT((CÁLCULO!$M$15:$M$27=EVENTOS!$C64)*(OFFSET(CÁLCULO!$AA$15:$AA$27,0,U$13))),2),0)</f>
        <v>0</v>
      </c>
      <c r="V64" s="628" cm="1">
        <f t="array" aca="1" ref="V64" ca="1">IF(AUTOEVENTO="Manual",ROUND(SUMPRODUCT((CÁLCULO!$M$15:$M$27=EVENTOS!$C64)*(OFFSET(CÁLCULO!$AA$15:$AA$27,0,V$13))),2),0)</f>
        <v>0</v>
      </c>
      <c r="W64" s="628" cm="1">
        <f t="array" aca="1" ref="W64" ca="1">IF(AUTOEVENTO="Manual",ROUND(SUMPRODUCT((CÁLCULO!$M$15:$M$27=EVENTOS!$C64)*(OFFSET(CÁLCULO!$AA$15:$AA$27,0,W$13))),2),0)</f>
        <v>0</v>
      </c>
      <c r="X64" s="628" cm="1">
        <f t="array" aca="1" ref="X64" ca="1">IF(AUTOEVENTO="Manual",ROUND(SUMPRODUCT((CÁLCULO!$M$15:$M$27=EVENTOS!$C64)*(OFFSET(CÁLCULO!$AA$15:$AA$27,0,X$13))),2),0)</f>
        <v>0</v>
      </c>
      <c r="Y64" s="628" cm="1">
        <f t="array" aca="1" ref="Y64" ca="1">IF(AUTOEVENTO="Manual",ROUND(SUMPRODUCT((CÁLCULO!$M$15:$M$27=EVENTOS!$C64)*(OFFSET(CÁLCULO!$AA$15:$AA$27,0,Y$13))),2),0)</f>
        <v>0</v>
      </c>
    </row>
    <row r="65" spans="1:25" ht="5.0999999999999996" customHeight="1" x14ac:dyDescent="0.2">
      <c r="A65" s="507" t="s">
        <v>538</v>
      </c>
      <c r="C65" s="637"/>
      <c r="D65" s="638"/>
      <c r="E65" s="639"/>
      <c r="F65" s="185"/>
      <c r="G65" s="639"/>
      <c r="H65" s="639"/>
      <c r="I65" s="639"/>
      <c r="J65" s="639"/>
      <c r="K65" s="639"/>
      <c r="L65" s="639"/>
      <c r="M65" s="639"/>
      <c r="N65" s="639"/>
      <c r="O65" s="639"/>
      <c r="P65" s="639"/>
      <c r="Q65" s="639"/>
      <c r="R65" s="639"/>
      <c r="S65" s="639"/>
      <c r="T65" s="639"/>
      <c r="U65" s="639"/>
      <c r="V65" s="639"/>
      <c r="W65" s="639"/>
      <c r="X65" s="639"/>
      <c r="Y65" s="639"/>
    </row>
    <row r="66" spans="1:25" x14ac:dyDescent="0.2">
      <c r="A66" s="507" t="s">
        <v>538</v>
      </c>
    </row>
    <row r="67" spans="1:25" x14ac:dyDescent="0.2">
      <c r="A67" s="507" t="s">
        <v>538</v>
      </c>
    </row>
    <row r="68" spans="1:25" ht="15" x14ac:dyDescent="0.2">
      <c r="A68" s="507" t="s">
        <v>538</v>
      </c>
      <c r="D68" s="494" t="str">
        <f>Import.Município</f>
        <v>CAÇAPAVA DO SUL/RS</v>
      </c>
      <c r="L68" s="461"/>
      <c r="M68" s="418"/>
      <c r="N68" s="418"/>
      <c r="O68" s="418"/>
      <c r="V68" s="461"/>
      <c r="W68" s="418"/>
      <c r="X68" s="418"/>
      <c r="Y68" s="418"/>
    </row>
    <row r="69" spans="1:25" x14ac:dyDescent="0.2">
      <c r="A69" s="507" t="s">
        <v>538</v>
      </c>
      <c r="D69" s="9" t="s">
        <v>696</v>
      </c>
      <c r="H69" s="550"/>
      <c r="I69" s="550"/>
      <c r="J69" s="550"/>
      <c r="L69" s="182" t="s">
        <v>699</v>
      </c>
      <c r="V69" s="182" t="s">
        <v>699</v>
      </c>
    </row>
    <row r="70" spans="1:25" x14ac:dyDescent="0.2">
      <c r="A70" s="507" t="s">
        <v>538</v>
      </c>
      <c r="H70" s="550"/>
      <c r="I70" s="550"/>
      <c r="J70" s="550"/>
      <c r="L70" s="399" t="str">
        <f t="array" aca="1" ref="L70:L72" ca="1">OFFSET(Import.RespOrçamento,0,-1) &amp; " " &amp; Import.RespOrçamento</f>
        <v>Nome: HELMESONA DE O. SANTANA</v>
      </c>
      <c r="V70" s="399" t="str">
        <f t="array" aca="1" ref="V70:V72" ca="1">OFFSET(Import.RespOrçamento,0,-1) &amp; " " &amp; Import.RespOrçamento</f>
        <v>Nome: HELMESONA DE O. SANTANA</v>
      </c>
    </row>
    <row r="71" spans="1:25" x14ac:dyDescent="0.2">
      <c r="A71" s="507" t="s">
        <v>538</v>
      </c>
      <c r="D71" s="495">
        <f>DADOS!$C$25</f>
        <v>45803</v>
      </c>
      <c r="L71" s="399" t="str">
        <f ca="1"/>
        <v>CREA/CAU: CREA RS152843</v>
      </c>
      <c r="V71" s="399" t="str">
        <f ca="1"/>
        <v>CREA/CAU: CREA RS152843</v>
      </c>
    </row>
    <row r="72" spans="1:25" x14ac:dyDescent="0.2">
      <c r="A72" s="507" t="s">
        <v>538</v>
      </c>
      <c r="D72" s="9" t="s">
        <v>697</v>
      </c>
      <c r="L72" s="399" t="str">
        <f ca="1"/>
        <v>ART/RRT: ART 8809670</v>
      </c>
      <c r="V72" s="399" t="str">
        <f ca="1"/>
        <v>ART/RRT: ART 8809670</v>
      </c>
    </row>
  </sheetData>
  <sheetProtection password="BD1F" sheet="1" objects="1" scenarios="1" autoFilter="0"/>
  <autoFilter ref="A13:A72"/>
  <mergeCells count="24">
    <mergeCell ref="X10:X12"/>
    <mergeCell ref="Y10:Y12"/>
    <mergeCell ref="C8:D8"/>
    <mergeCell ref="P10:P12"/>
    <mergeCell ref="Q10:Q12"/>
    <mergeCell ref="H10:H12"/>
    <mergeCell ref="I10:I12"/>
    <mergeCell ref="M10:M12"/>
    <mergeCell ref="N10:N12"/>
    <mergeCell ref="O10:O12"/>
    <mergeCell ref="S10:S12"/>
    <mergeCell ref="T10:T12"/>
    <mergeCell ref="U10:U12"/>
    <mergeCell ref="V10:V12"/>
    <mergeCell ref="W10:W12"/>
    <mergeCell ref="C11:D11"/>
    <mergeCell ref="F5:M5"/>
    <mergeCell ref="P5:W5"/>
    <mergeCell ref="E10:E12"/>
    <mergeCell ref="J10:J12"/>
    <mergeCell ref="K10:K12"/>
    <mergeCell ref="L10:L12"/>
    <mergeCell ref="R10:R12"/>
    <mergeCell ref="G10:G12"/>
  </mergeCells>
  <phoneticPr fontId="38" type="noConversion"/>
  <conditionalFormatting sqref="C10:J10 E11:J11 C12:J12 K10:Y12 C1:Z1 Z10:Z15 C13:Y15 C16:Z65">
    <cfRule type="expression" dxfId="224" priority="1" stopIfTrue="1">
      <formula>OR(AUTOEVENTO&lt;&gt;"Manual",ACOMPANHAMENTO="BM",C$10=0,C$13=0,$C1=" ")</formula>
    </cfRule>
  </conditionalFormatting>
  <conditionalFormatting sqref="A15 C15:XFD15">
    <cfRule type="expression" dxfId="223" priority="151">
      <formula>$C$15=0</formula>
    </cfRule>
  </conditionalFormatting>
  <dataValidations count="1">
    <dataValidation type="list" allowBlank="1" showErrorMessage="1" sqref="C8">
      <mc:AlternateContent xmlns:x12ac="http://schemas.microsoft.com/office/spreadsheetml/2011/1/ac" xmlns:mc="http://schemas.openxmlformats.org/markup-compatibility/2006">
        <mc:Choice Requires="x12ac">
          <x12ac:list>"Automática, conforme os agrupadores Nível 2 do Orçamento","Automática, conforme os agrupadores Nível 3 do Orçamento","Automática, conforme os agrupadores Nível 4 do Orçamento",Definir Manualmente</x12ac:list>
        </mc:Choice>
        <mc:Fallback>
          <formula1>"Automática, conforme os agrupadores Nível 2 do Orçamento,Automática, conforme os agrupadores Nível 3 do Orçamento,Automática, conforme os agrupadores Nível 4 do Orçamento,Definir Manualmente"</formula1>
        </mc:Fallback>
      </mc:AlternateContent>
      <formula2>0</formula2>
    </dataValidation>
  </dataValidations>
  <pageMargins left="0.78740157480314998" right="0.78740157480314998" top="0.78740157480314998" bottom="0.78740157480314998" header="5.7086614173228396" footer="0.59055118110236204"/>
  <pageSetup paperSize="9" scale="22" firstPageNumber="0" orientation="portrait" horizontalDpi="300" verticalDpi="300" r:id="rId1"/>
  <headerFooter alignWithMargins="0">
    <oddHeader>&amp;L_</oddHeader>
    <oddFooter>&amp;LPMv3.10&amp;R&amp;P / &amp;N</oddFooter>
  </headerFooter>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6"/>
  <dimension ref="A1:BH65295"/>
  <sheetViews>
    <sheetView showGridLines="0" zoomScaleNormal="100" zoomScaleSheetLayoutView="90" workbookViewId="0">
      <pane xSplit="8" ySplit="15" topLeftCell="I16" activePane="bottomRight" state="frozen"/>
      <selection pane="topRight" activeCell="I1" sqref="I1"/>
      <selection pane="bottomLeft" activeCell="C16" sqref="C16"/>
      <selection pane="bottomRight"/>
    </sheetView>
  </sheetViews>
  <sheetFormatPr defaultRowHeight="0" customHeight="1" zeroHeight="1" x14ac:dyDescent="0.2"/>
  <cols>
    <col min="1" max="1" width="15.42578125" style="7" hidden="1" customWidth="1"/>
    <col min="2" max="2" width="9.140625" style="7" hidden="1" customWidth="1"/>
    <col min="3" max="3" width="3.5703125" style="7" customWidth="1"/>
    <col min="4" max="4" width="8.5703125" customWidth="1"/>
    <col min="5" max="5" width="12.5703125" customWidth="1"/>
    <col min="6" max="6" width="65.5703125" customWidth="1"/>
    <col min="7" max="7" width="10.5703125" customWidth="1"/>
    <col min="8" max="8" width="14.5703125" customWidth="1"/>
    <col min="9" max="9" width="29.5703125" customWidth="1"/>
    <col min="10" max="10" width="1.5703125" customWidth="1"/>
    <col min="11" max="11" width="4.5703125" customWidth="1"/>
    <col min="12" max="12" width="0.85546875" customWidth="1"/>
    <col min="13" max="13" width="9.140625" style="7" hidden="1" customWidth="1"/>
    <col min="14" max="14" width="31.5703125" customWidth="1"/>
    <col min="15" max="15" width="9.140625" hidden="1" customWidth="1"/>
    <col min="16" max="16" width="1.5703125" customWidth="1"/>
    <col min="17" max="26" width="11.5703125" customWidth="1"/>
    <col min="27" max="59" width="9.140625" hidden="1" customWidth="1"/>
    <col min="60" max="60" width="1.5703125" hidden="1" customWidth="1"/>
  </cols>
  <sheetData>
    <row r="1" spans="1:59" ht="12.75" hidden="1" customHeight="1" x14ac:dyDescent="0.2">
      <c r="M1" s="7">
        <f ca="1">SUM(OFFSET(CÁLCULO!$P$1,0,1):OFFSET(CÁLCULO!$AA$1,0,-1))</f>
        <v>0</v>
      </c>
      <c r="O1" s="640" cm="1">
        <f t="array" ref="O1">IF(OR(ACOMPANHAMENTO="BM",N1=0,O12=""),0,1)</f>
        <v>0</v>
      </c>
      <c r="P1" t="s">
        <v>768</v>
      </c>
      <c r="Q1" s="640" cm="1">
        <f t="array" ref="Q1">IF(OR(ACOMPANHAMENTO="BM",P1=0,Q12=""),0,1)</f>
        <v>0</v>
      </c>
      <c r="R1" s="640" cm="1">
        <f t="array" ref="R1">IF(OR(ACOMPANHAMENTO="BM",Q1=0,R12=""),0,1)</f>
        <v>0</v>
      </c>
      <c r="S1" s="640" cm="1">
        <f t="array" ref="S1">IF(OR(ACOMPANHAMENTO="BM",R1=0,S12=""),0,1)</f>
        <v>0</v>
      </c>
      <c r="T1" s="640" cm="1">
        <f t="array" ref="T1">IF(OR(ACOMPANHAMENTO="BM",S1=0,T12=""),0,1)</f>
        <v>0</v>
      </c>
      <c r="U1" s="640" cm="1">
        <f t="array" ref="U1">IF(OR(ACOMPANHAMENTO="BM",T1=0,U12=""),0,1)</f>
        <v>0</v>
      </c>
      <c r="V1" s="640" cm="1">
        <f t="array" ref="V1">IF(OR(ACOMPANHAMENTO="BM",U1=0,V12=""),0,1)</f>
        <v>0</v>
      </c>
      <c r="W1" s="640" cm="1">
        <f t="array" ref="W1">IF(OR(ACOMPANHAMENTO="BM",V1=0,W12=""),0,1)</f>
        <v>0</v>
      </c>
      <c r="X1" s="640" cm="1">
        <f t="array" ref="X1">IF(OR(ACOMPANHAMENTO="BM",W1=0,X12=""),0,1)</f>
        <v>0</v>
      </c>
      <c r="Y1" s="640" cm="1">
        <f t="array" ref="Y1">IF(OR(ACOMPANHAMENTO="BM",X1=0,Y12=""),0,1)</f>
        <v>0</v>
      </c>
      <c r="Z1" s="640" cm="1">
        <f t="array" ref="Z1">IF(OR(ACOMPANHAMENTO="BM",Y1=0,Z12=""),0,1)</f>
        <v>0</v>
      </c>
      <c r="AB1" t="s">
        <v>769</v>
      </c>
      <c r="AM1" t="s">
        <v>770</v>
      </c>
      <c r="AX1" t="s">
        <v>771</v>
      </c>
    </row>
    <row r="2" spans="1:59" ht="12.75" hidden="1" customHeight="1" x14ac:dyDescent="0.2"/>
    <row r="3" spans="1:59" ht="12.75" hidden="1" customHeight="1" x14ac:dyDescent="0.2"/>
    <row r="4" spans="1:59" ht="12.75" hidden="1" customHeight="1" x14ac:dyDescent="0.2"/>
    <row r="5" spans="1:59" ht="12.75" hidden="1" customHeight="1" x14ac:dyDescent="0.2"/>
    <row r="6" spans="1:59" ht="15.75" customHeight="1" x14ac:dyDescent="0.2">
      <c r="F6" s="726" t="str" cm="1">
        <f t="array" ref="F6">IF(ACOMPANHAMENTO="BM","MEMÓRIA DE CÁLCULO","PLQ - PLANILHA DE LEVANTAMENTO DE QUANTIDADES")</f>
        <v>MEMÓRIA DE CÁLCULO</v>
      </c>
      <c r="G6" s="726"/>
      <c r="H6" s="726"/>
      <c r="I6" s="142"/>
      <c r="K6" s="142"/>
      <c r="L6" s="142"/>
      <c r="M6" s="143"/>
      <c r="N6" s="142"/>
      <c r="P6" s="142"/>
      <c r="Q6" s="694" t="s">
        <v>646</v>
      </c>
      <c r="R6" s="694"/>
      <c r="Y6" s="694" t="s">
        <v>646</v>
      </c>
      <c r="Z6" s="694"/>
    </row>
    <row r="7" spans="1:59" ht="15" customHeight="1" x14ac:dyDescent="0.2">
      <c r="F7" s="727" t="str" cm="1">
        <f t="array" ref="F7">IF(ACOMPANHAMENTO="BM","","Memória de Cálculo")&amp;" - "&amp;import.recurso</f>
        <v xml:space="preserve"> - (SELECIONAR)</v>
      </c>
      <c r="G7" s="727"/>
      <c r="H7" s="727"/>
      <c r="I7" s="144"/>
      <c r="K7" s="144"/>
      <c r="L7" s="144"/>
      <c r="M7" s="145"/>
      <c r="N7" s="144"/>
      <c r="P7" s="144"/>
      <c r="Q7" s="695" t="s">
        <v>649</v>
      </c>
      <c r="R7" s="695"/>
      <c r="Y7" s="695" t="s">
        <v>649</v>
      </c>
      <c r="Z7" s="695"/>
    </row>
    <row r="8" spans="1:59" ht="12.75" customHeight="1" x14ac:dyDescent="0.2">
      <c r="AE8" s="477"/>
    </row>
    <row r="9" spans="1:59" ht="12.75" customHeight="1" x14ac:dyDescent="0.2">
      <c r="E9" s="689" t="s">
        <v>711</v>
      </c>
      <c r="F9" s="689"/>
      <c r="G9" s="689" t="s">
        <v>710</v>
      </c>
      <c r="H9" s="689"/>
      <c r="I9" s="88" t="s">
        <v>652</v>
      </c>
      <c r="K9" s="146" t="s">
        <v>654</v>
      </c>
      <c r="L9" s="147"/>
      <c r="M9" s="147"/>
      <c r="N9" s="147"/>
      <c r="O9" s="147"/>
      <c r="P9" s="147"/>
      <c r="Q9" s="147"/>
      <c r="R9" s="148"/>
      <c r="S9" s="689" t="s">
        <v>652</v>
      </c>
      <c r="T9" s="689"/>
      <c r="U9" s="689" t="s">
        <v>654</v>
      </c>
      <c r="V9" s="689"/>
      <c r="W9" s="689"/>
      <c r="X9" s="689"/>
      <c r="Y9" s="689"/>
      <c r="Z9" s="689"/>
    </row>
    <row r="10" spans="1:59" ht="12.75" customHeight="1" x14ac:dyDescent="0.2">
      <c r="A10" s="609" t="s">
        <v>772</v>
      </c>
      <c r="E10" s="693" t="str">
        <f>Import.Apelido</f>
        <v>COBERTURA DE QUADRA</v>
      </c>
      <c r="F10" s="693"/>
      <c r="G10" s="693" cm="1">
        <f t="array" ref="G10">Import.TransfereGOV</f>
        <v>0</v>
      </c>
      <c r="H10" s="693"/>
      <c r="I10" s="91">
        <f>Import.CR</f>
        <v>0</v>
      </c>
      <c r="K10" s="149" t="str">
        <f>Import.Proponente</f>
        <v>PREFEITURA MUNICIPAL</v>
      </c>
      <c r="L10" s="150"/>
      <c r="M10" s="101"/>
      <c r="N10" s="150"/>
      <c r="O10" s="150"/>
      <c r="P10" s="150"/>
      <c r="Q10" s="150"/>
      <c r="R10" s="92"/>
      <c r="S10" s="693">
        <f>Import.CR</f>
        <v>0</v>
      </c>
      <c r="T10" s="693"/>
      <c r="U10" s="693" t="str">
        <f>Import.Proponente</f>
        <v>PREFEITURA MUNICIPAL</v>
      </c>
      <c r="V10" s="693"/>
      <c r="W10" s="693"/>
      <c r="X10" s="693"/>
      <c r="Y10" s="693"/>
      <c r="Z10" s="693"/>
    </row>
    <row r="11" spans="1:59" ht="12.75" customHeight="1" x14ac:dyDescent="0.2">
      <c r="A11" s="451" t="str">
        <f ca="1">IF(AND(Import.TipoArredondamento="Tradicional",AUTOEVENTO="Manual"),"Automática",IF(CRONOPLE!$B$8="","Sem Adm","Manual"))</f>
        <v>Sem Adm</v>
      </c>
      <c r="F11" s="573" t="str">
        <f ca="1">IF(AND(ACOMPANHAMENTO="PLE",CÁLCULO.FrentesPreenchidas=0),"Preencher os nomes das Frentes de Obra",
  IF(COUNTIF($J$15:$J$27,"►")&gt;0,"Não pode haver serviços sem agrupador de eventos",
  IF(COUNTIF($P$11:$AA$11,"▼")&gt;0,"Não pode haver frentes de obra sem quantidades",
  IF(COUNTIF($P$11:$AA$11,"Nome &gt;100")&gt;0,"Nome da frente de obra com mais de 100 caracteres",""))))</f>
        <v/>
      </c>
      <c r="N11" s="579" t="str">
        <f ca="1">IF(OR(COUNTIF($J$15:$J$27,"►")&gt;0,COUNTIF($J$15:$J$27,"►►")&gt;0),"",
IF(COUNTIF($P$11:$AA$11,"▼")&gt;0,"Falta preencher a frente de obra nº " &amp; HLOOKUP("▼",$P$11:$AA$13,3,FALSE),
IF(COUNTIF($P$11:$AA$11,"Nome &gt;100")&gt;0,"Resuma o nome da frente de obra nº " &amp; HLOOKUP("Nome &gt;100",$P$11:$AA$13,3,FALSE),"")))</f>
        <v/>
      </c>
      <c r="O11" s="572" t="e">
        <f ca="1">IF(AND(O1=1,O15=0),"▼",IF(AND(O1=1,LEN(O12)&gt;100),"Nome &gt;100",""))</f>
        <v>#VALUE!</v>
      </c>
      <c r="P11" s="7"/>
      <c r="Q11" s="572" t="str">
        <f ca="1">IF(AND(Q1=1,Q15=0),"▼",IF(AND(Q1=1,LEN(Q12)&gt;100),"Nome &gt;100",""))</f>
        <v/>
      </c>
      <c r="R11" s="572" t="str">
        <f t="shared" ref="R11:Z11" ca="1" si="0">IF(AND(R1=1,R15=0),"▼",IF(AND(R1=1,LEN(R12)&gt;100),"Nome &gt;100",""))</f>
        <v/>
      </c>
      <c r="S11" s="572" t="str">
        <f t="shared" ca="1" si="0"/>
        <v/>
      </c>
      <c r="T11" s="572" t="str">
        <f t="shared" ca="1" si="0"/>
        <v/>
      </c>
      <c r="U11" s="572" t="str">
        <f t="shared" ca="1" si="0"/>
        <v/>
      </c>
      <c r="V11" s="572" t="str">
        <f t="shared" ca="1" si="0"/>
        <v/>
      </c>
      <c r="W11" s="572" t="str">
        <f t="shared" ca="1" si="0"/>
        <v/>
      </c>
      <c r="X11" s="572" t="str">
        <f t="shared" ca="1" si="0"/>
        <v/>
      </c>
      <c r="Y11" s="572" t="str">
        <f t="shared" ca="1" si="0"/>
        <v/>
      </c>
      <c r="Z11" s="572" t="str">
        <f t="shared" ca="1" si="0"/>
        <v/>
      </c>
    </row>
    <row r="12" spans="1:59" ht="69.95" customHeight="1" x14ac:dyDescent="0.2">
      <c r="A12" s="607">
        <f ca="1">IF(OFFSET(EVENTOS!$C$7,1,0)="Automática, conforme os agrupadores Nível 4 do Orçamento",4,IF(OFFSET(EVENTOS!$C$7,1,0)="Automática, conforme os agrupadores Nível 3 do Orçamento",3,IF(OFFSET(EVENTOS!$C$7,1,0)="Definir Manualmente","Manual",2)))</f>
        <v>2</v>
      </c>
      <c r="B12" s="7" t="s">
        <v>773</v>
      </c>
      <c r="C12" s="490" t="s">
        <v>657</v>
      </c>
      <c r="H12" s="151"/>
      <c r="I12" s="582" t="str">
        <f ca="1">IF(COUNTIF($J$15:$J$27,"►")&gt;0,"Falta Definir o Agrupador de Evento na linha "&amp;MATCH("►",$J$15:$J$27,0)+ROW($J$14),
  IF(COUNTIF($J$15:$J$27,"►►")&gt;0,"Falta preencher a quantidade do serviço na linha "&amp;MATCH("►►",$J$15:$J$27,0)+ROW($J$14),
  IF(AND(COUNTIF($P$11:$AA$11,"▼")=0,COUNTIF($J$15:$J$27,"◄")&gt;0),"Falta Preencher o Memorial de Cálculo na linha "&amp;MATCH("◄",$J$15:$J$27,0)+ROW($J$14),"")))</f>
        <v>Falta Preencher o Memorial de Cálculo na linha 18</v>
      </c>
      <c r="J12" s="152" t="s">
        <v>768</v>
      </c>
      <c r="K12" s="153" t="s">
        <v>774</v>
      </c>
      <c r="L12" s="152" t="s">
        <v>768</v>
      </c>
      <c r="M12" s="576" cm="1">
        <f t="array" ref="M12">IF(ACOMPANHAMENTO="BM",0,MAX($M$15:$M$27))</f>
        <v>0</v>
      </c>
      <c r="N12" s="580" t="s">
        <v>775</v>
      </c>
      <c r="O12" s="154"/>
      <c r="P12" s="152" t="s">
        <v>768</v>
      </c>
      <c r="Q12" s="453"/>
      <c r="R12" s="154"/>
      <c r="S12" s="154"/>
      <c r="T12" s="521"/>
      <c r="U12" s="154"/>
      <c r="V12" s="154"/>
      <c r="W12" s="154"/>
      <c r="X12" s="154"/>
      <c r="Y12" s="154"/>
      <c r="Z12" s="155"/>
      <c r="AA12" s="152" t="s">
        <v>768</v>
      </c>
      <c r="AB12" s="156">
        <f ca="1">IF(OFFSET($P$1,0,AB$13)=0,0,OFFSET($P$12,0,AB$13))</f>
        <v>0</v>
      </c>
      <c r="AC12" s="156">
        <f t="shared" ref="AC12:AK12" ca="1" si="1">IF(OFFSET($P$1,0,AC$13)=0,0,OFFSET($P$12,0,AC$13))</f>
        <v>0</v>
      </c>
      <c r="AD12" s="156">
        <f t="shared" ca="1" si="1"/>
        <v>0</v>
      </c>
      <c r="AE12" s="156">
        <f t="shared" ca="1" si="1"/>
        <v>0</v>
      </c>
      <c r="AF12" s="156">
        <f t="shared" ca="1" si="1"/>
        <v>0</v>
      </c>
      <c r="AG12" s="156">
        <f t="shared" ca="1" si="1"/>
        <v>0</v>
      </c>
      <c r="AH12" s="156">
        <f t="shared" ca="1" si="1"/>
        <v>0</v>
      </c>
      <c r="AI12" s="156">
        <f t="shared" ca="1" si="1"/>
        <v>0</v>
      </c>
      <c r="AJ12" s="156">
        <f t="shared" ca="1" si="1"/>
        <v>0</v>
      </c>
      <c r="AK12" s="156">
        <f t="shared" ca="1" si="1"/>
        <v>0</v>
      </c>
      <c r="AM12" s="156">
        <f t="shared" ref="AM12:BG12" ca="1" si="2">IF(OFFSET($P$1,0,AM$13)=0,0,OFFSET($P$12,0,AM$13))</f>
        <v>0</v>
      </c>
      <c r="AN12" s="157">
        <f t="shared" ca="1" si="2"/>
        <v>0</v>
      </c>
      <c r="AO12" s="157">
        <f t="shared" ca="1" si="2"/>
        <v>0</v>
      </c>
      <c r="AP12" s="157">
        <f t="shared" ca="1" si="2"/>
        <v>0</v>
      </c>
      <c r="AQ12" s="157">
        <f t="shared" ca="1" si="2"/>
        <v>0</v>
      </c>
      <c r="AR12" s="157">
        <f t="shared" ca="1" si="2"/>
        <v>0</v>
      </c>
      <c r="AS12" s="157">
        <f t="shared" ca="1" si="2"/>
        <v>0</v>
      </c>
      <c r="AT12" s="157">
        <f t="shared" ca="1" si="2"/>
        <v>0</v>
      </c>
      <c r="AU12" s="157">
        <f t="shared" ca="1" si="2"/>
        <v>0</v>
      </c>
      <c r="AV12" s="158">
        <f t="shared" ca="1" si="2"/>
        <v>0</v>
      </c>
      <c r="AX12" s="156">
        <f t="shared" ca="1" si="2"/>
        <v>0</v>
      </c>
      <c r="AY12" s="157">
        <f t="shared" ca="1" si="2"/>
        <v>0</v>
      </c>
      <c r="AZ12" s="157">
        <f t="shared" ca="1" si="2"/>
        <v>0</v>
      </c>
      <c r="BA12" s="157">
        <f t="shared" ca="1" si="2"/>
        <v>0</v>
      </c>
      <c r="BB12" s="157">
        <f t="shared" ca="1" si="2"/>
        <v>0</v>
      </c>
      <c r="BC12" s="157">
        <f t="shared" ca="1" si="2"/>
        <v>0</v>
      </c>
      <c r="BD12" s="157">
        <f t="shared" ca="1" si="2"/>
        <v>0</v>
      </c>
      <c r="BE12" s="157">
        <f t="shared" ca="1" si="2"/>
        <v>0</v>
      </c>
      <c r="BF12" s="157">
        <f t="shared" ca="1" si="2"/>
        <v>0</v>
      </c>
      <c r="BG12" s="158">
        <f t="shared" ca="1" si="2"/>
        <v>0</v>
      </c>
    </row>
    <row r="13" spans="1:59" ht="12.75" customHeight="1" x14ac:dyDescent="0.2">
      <c r="A13" s="608" t="s">
        <v>776</v>
      </c>
      <c r="B13" s="7" t="s">
        <v>773</v>
      </c>
      <c r="C13" s="491" t="s">
        <v>662</v>
      </c>
      <c r="D13" s="108" t="s">
        <v>736</v>
      </c>
      <c r="E13" s="108" t="s">
        <v>738</v>
      </c>
      <c r="F13" s="108" t="s">
        <v>119</v>
      </c>
      <c r="G13" s="110" t="s">
        <v>741</v>
      </c>
      <c r="H13" s="108" t="s">
        <v>715</v>
      </c>
      <c r="I13" s="108" t="s">
        <v>777</v>
      </c>
      <c r="J13" s="523"/>
      <c r="K13" s="293" t="s">
        <v>778</v>
      </c>
      <c r="L13" s="152"/>
      <c r="M13" s="108" t="s">
        <v>779</v>
      </c>
      <c r="N13" s="108" t="s">
        <v>780</v>
      </c>
      <c r="O13" s="159" t="e">
        <f ca="1">OFFSET(O13,0,-1)+1</f>
        <v>#VALUE!</v>
      </c>
      <c r="Q13" s="160">
        <f t="shared" ref="Q13:Z13" ca="1" si="3">OFFSET(Q13,0,-1)+1</f>
        <v>1</v>
      </c>
      <c r="R13" s="159">
        <f t="shared" ca="1" si="3"/>
        <v>2</v>
      </c>
      <c r="S13" s="159">
        <f t="shared" ca="1" si="3"/>
        <v>3</v>
      </c>
      <c r="T13" s="159">
        <f t="shared" ca="1" si="3"/>
        <v>4</v>
      </c>
      <c r="U13" s="159">
        <f t="shared" ca="1" si="3"/>
        <v>5</v>
      </c>
      <c r="V13" s="159">
        <f t="shared" ca="1" si="3"/>
        <v>6</v>
      </c>
      <c r="W13" s="159">
        <f t="shared" ca="1" si="3"/>
        <v>7</v>
      </c>
      <c r="X13" s="159">
        <f t="shared" ca="1" si="3"/>
        <v>8</v>
      </c>
      <c r="Y13" s="159">
        <f t="shared" ca="1" si="3"/>
        <v>9</v>
      </c>
      <c r="Z13" s="161">
        <f t="shared" ca="1" si="3"/>
        <v>10</v>
      </c>
      <c r="AB13" s="114">
        <f t="shared" ref="AB13:BG13" ca="1" si="4">OFFSET(AB13,0,-1)+1</f>
        <v>1</v>
      </c>
      <c r="AC13" s="162">
        <f t="shared" ca="1" si="4"/>
        <v>2</v>
      </c>
      <c r="AD13" s="162">
        <f t="shared" ca="1" si="4"/>
        <v>3</v>
      </c>
      <c r="AE13" s="162">
        <f t="shared" ca="1" si="4"/>
        <v>4</v>
      </c>
      <c r="AF13" s="162">
        <f t="shared" ca="1" si="4"/>
        <v>5</v>
      </c>
      <c r="AG13" s="162">
        <f t="shared" ca="1" si="4"/>
        <v>6</v>
      </c>
      <c r="AH13" s="162">
        <f t="shared" ca="1" si="4"/>
        <v>7</v>
      </c>
      <c r="AI13" s="162">
        <f t="shared" ca="1" si="4"/>
        <v>8</v>
      </c>
      <c r="AJ13" s="162">
        <f t="shared" ca="1" si="4"/>
        <v>9</v>
      </c>
      <c r="AK13" s="163">
        <f t="shared" ca="1" si="4"/>
        <v>10</v>
      </c>
      <c r="AM13" s="114">
        <f t="shared" ca="1" si="4"/>
        <v>1</v>
      </c>
      <c r="AN13" s="162">
        <f t="shared" ca="1" si="4"/>
        <v>2</v>
      </c>
      <c r="AO13" s="162">
        <f t="shared" ca="1" si="4"/>
        <v>3</v>
      </c>
      <c r="AP13" s="162">
        <f t="shared" ca="1" si="4"/>
        <v>4</v>
      </c>
      <c r="AQ13" s="162">
        <f t="shared" ca="1" si="4"/>
        <v>5</v>
      </c>
      <c r="AR13" s="162">
        <f t="shared" ca="1" si="4"/>
        <v>6</v>
      </c>
      <c r="AS13" s="162">
        <f t="shared" ca="1" si="4"/>
        <v>7</v>
      </c>
      <c r="AT13" s="162">
        <f t="shared" ca="1" si="4"/>
        <v>8</v>
      </c>
      <c r="AU13" s="162">
        <f t="shared" ca="1" si="4"/>
        <v>9</v>
      </c>
      <c r="AV13" s="163">
        <f t="shared" ca="1" si="4"/>
        <v>10</v>
      </c>
      <c r="AX13" s="114">
        <f t="shared" ca="1" si="4"/>
        <v>1</v>
      </c>
      <c r="AY13" s="162">
        <f t="shared" ca="1" si="4"/>
        <v>2</v>
      </c>
      <c r="AZ13" s="162">
        <f t="shared" ca="1" si="4"/>
        <v>3</v>
      </c>
      <c r="BA13" s="162">
        <f t="shared" ca="1" si="4"/>
        <v>4</v>
      </c>
      <c r="BB13" s="162">
        <f t="shared" ca="1" si="4"/>
        <v>5</v>
      </c>
      <c r="BC13" s="162">
        <f t="shared" ca="1" si="4"/>
        <v>6</v>
      </c>
      <c r="BD13" s="162">
        <f t="shared" ca="1" si="4"/>
        <v>7</v>
      </c>
      <c r="BE13" s="162">
        <f t="shared" ca="1" si="4"/>
        <v>8</v>
      </c>
      <c r="BF13" s="162">
        <f t="shared" ca="1" si="4"/>
        <v>9</v>
      </c>
      <c r="BG13" s="163">
        <f t="shared" ca="1" si="4"/>
        <v>10</v>
      </c>
    </row>
    <row r="14" spans="1:59" ht="12.75" hidden="1" x14ac:dyDescent="0.2">
      <c r="A14" s="7" t="str">
        <f ca="1">IF(AUTOEVENTO="Manual",IF(K14&lt;&gt;"",MIN(VALUE(LEFT(K14,FIND(".",K14)-1)),COUNTA(EVENTOS.Lista)),0),IF(OR($B14&gt;AUTOEVENTO,$B14="S",$B14=0),SUBSTITUTE(OFFSET($A14,-1,0),IF($D14="Serviço",".",""),""),ROW(A14)-ROW($A$15)&amp;"."))</f>
        <v>AUTOEVENTO</v>
      </c>
      <c r="B14" s="7" t="str">
        <f ca="1">OFFSET(ORÇAMENTO!C$15,ROW(B14)-ROW(B$15),0)</f>
        <v>S</v>
      </c>
      <c r="C14" s="7" t="str">
        <f ca="1">OFFSET(ORÇAMENTO!L$15,ROW(C14)-ROW(C$15),0)</f>
        <v/>
      </c>
      <c r="D14" s="117" t="str">
        <f ca="1">OFFSET(ORÇAMENTO!N$15,ROW(D14)-ROW(D$15),0)</f>
        <v>Serviço</v>
      </c>
      <c r="E14" s="118" t="str">
        <f ca="1">OFFSET(ORÇAMENTO!O$15,ROW(E14)-ROW(E$15),0)</f>
        <v>-</v>
      </c>
      <c r="F14" s="164" t="str">
        <f ca="1">OFFSET(ORÇAMENTO!R$15,ROW(F14)-ROW(F$15),0)</f>
        <v>(abra o arquivo 'Referência 03-2025.xlsm)</v>
      </c>
      <c r="G14" s="165" t="str">
        <f ca="1">IF($D14&lt;&gt;"Serviço","",OFFSET(ORÇAMENTO!S$15,ROW(G14)-ROW(G$15),0))</f>
        <v>-</v>
      </c>
      <c r="H14" s="123">
        <f ca="1">IF($D14&lt;&gt;"Serviço",0,IF(ACOMPANHAMENTO="BM",ROUND(OFFSET(ORÇAMENTO!AJ$15,ROW(H14)-ROW(H$15),0),15-13*ORÇAMENTO!$AF$7),SUMPRODUCT(($Q$1:$AA$1=1)*ROUND($Q14:$AA14,15-13*ORÇAMENTO!$AF$7))))</f>
        <v>0</v>
      </c>
      <c r="I14" s="469"/>
      <c r="J14" s="581" t="e" cm="1">
        <f t="array" aca="1" ref="J14" ca="1">IF(B14&lt;&gt;"S","",IF(AND(ACOMPANHAMENTO="PLE",AUTOEVENTO="Manual",OR(H14&gt;0,ORÇAMENTO!AC14="QUANT."),OR(K14="",M14=0,N14="")),"►",IF(AND(ACOMPANHAMENTO="PLE",ORÇAMENTO!AC14="QUANT."),"►►",IF(AND(COUNTIF($P$11:$AA$11,"▼")=0,H14&gt;0,I14=""),"◄",""))))</f>
        <v>#VALUE!</v>
      </c>
      <c r="K14" s="641"/>
      <c r="L14" s="166" t="s">
        <v>768</v>
      </c>
      <c r="M14" s="167" t="str">
        <f ca="1">IF($D14&lt;&gt;"Serviço","",
          IF(AUTOEVENTO="manual",$A14,
                IF(ISERROR(MATCH($A14,$A$15:OFFSET($A14,-1,0),0)),MAX($M$15:OFFSET(M14,-1,0))+1,
                      INDEX($M$15:OFFSET(M14,-1,0),MATCH($A14,$A$15:OFFSET($A14,-1,0),0)))))</f>
        <v># Evento</v>
      </c>
      <c r="N14" s="168" t="e">
        <f ca="1">IF($D14&lt;&gt;"Serviço","",
         IF(AUTOEVENTO="Manual",
                IF($A14=0,"&lt;-- defina o número do agrupador",
                       OFFSET(EVENTOS!$D$15,$A14-$A$15,0)),
                OFFSET($F$15,$A14,0)))</f>
        <v>#VALUE!</v>
      </c>
      <c r="O14" s="169"/>
      <c r="Q14" s="169"/>
      <c r="R14" s="170"/>
      <c r="S14" s="170"/>
      <c r="T14" s="170"/>
      <c r="U14" s="170"/>
      <c r="V14" s="170"/>
      <c r="W14" s="170"/>
      <c r="X14" s="170"/>
      <c r="Y14" s="170"/>
      <c r="Z14" s="171"/>
      <c r="AB14" s="454">
        <f ca="1">IF(AND($D14="Serviço",AB$12&lt;&gt;0,$H14&gt;0,OR(AUTOEVENTO&lt;&gt;"manual",$M14&lt;&gt;$A$15)),
        IF(Import.TipoArredondamento&lt;&gt;"TransfereGOV",
              ROUND(OFFSET($P14,0,AB$13),15-13*ORÇAMENTO!$AF$7)/$H14*OFFSET(ORÇAMENTO!$X$15,ROW(AB14)-ROW(AB$15),0),
              ROUND(ROUND(OFFSET($P14,0,AB$13),15-13*ORÇAMENTO!$AF$7)*OFFSET(ORÇAMENTO!$W$15,ROW(AB14)-ROW(AB$15),0),15-13*ORÇAMENTO!$AF$11)),
         0)</f>
        <v>0</v>
      </c>
      <c r="AC14" s="454">
        <f ca="1">IF(AND($D14="Serviço",AC$12&lt;&gt;0,$H14&gt;0,OR(AUTOEVENTO&lt;&gt;"manual",$M14&lt;&gt;$A$15)),
        IF(Import.TipoArredondamento&lt;&gt;"TransfereGOV",
              ROUND(OFFSET($P14,0,AC$13),15-13*ORÇAMENTO!$AF$7)/$H14*OFFSET(ORÇAMENTO!$X$15,ROW(AC14)-ROW(AC$15),0),
              ROUND(ROUND(OFFSET($P14,0,AC$13),15-13*ORÇAMENTO!$AF$7)*OFFSET(ORÇAMENTO!$W$15,ROW(AC14)-ROW(AC$15),0),15-13*ORÇAMENTO!$AF$11)),
         0)</f>
        <v>0</v>
      </c>
      <c r="AD14" s="454">
        <f ca="1">IF(AND($D14="Serviço",AD$12&lt;&gt;0,$H14&gt;0,OR(AUTOEVENTO&lt;&gt;"manual",$M14&lt;&gt;$A$15)),
        IF(Import.TipoArredondamento&lt;&gt;"TransfereGOV",
              ROUND(OFFSET($P14,0,AD$13),15-13*ORÇAMENTO!$AF$7)/$H14*OFFSET(ORÇAMENTO!$X$15,ROW(AD14)-ROW(AD$15),0),
              ROUND(ROUND(OFFSET($P14,0,AD$13),15-13*ORÇAMENTO!$AF$7)*OFFSET(ORÇAMENTO!$W$15,ROW(AD14)-ROW(AD$15),0),15-13*ORÇAMENTO!$AF$11)),
         0)</f>
        <v>0</v>
      </c>
      <c r="AE14" s="454">
        <f ca="1">IF(AND($D14="Serviço",AE$12&lt;&gt;0,$H14&gt;0,OR(AUTOEVENTO&lt;&gt;"manual",$M14&lt;&gt;$A$15)),
        IF(Import.TipoArredondamento&lt;&gt;"TransfereGOV",
              ROUND(OFFSET($P14,0,AE$13),15-13*ORÇAMENTO!$AF$7)/$H14*OFFSET(ORÇAMENTO!$X$15,ROW(AE14)-ROW(AE$15),0),
              ROUND(ROUND(OFFSET($P14,0,AE$13),15-13*ORÇAMENTO!$AF$7)*OFFSET(ORÇAMENTO!$W$15,ROW(AE14)-ROW(AE$15),0),15-13*ORÇAMENTO!$AF$11)),
         0)</f>
        <v>0</v>
      </c>
      <c r="AF14" s="454">
        <f ca="1">IF(AND($D14="Serviço",AF$12&lt;&gt;0,$H14&gt;0,OR(AUTOEVENTO&lt;&gt;"manual",$M14&lt;&gt;$A$15)),
        IF(Import.TipoArredondamento&lt;&gt;"TransfereGOV",
              ROUND(OFFSET($P14,0,AF$13),15-13*ORÇAMENTO!$AF$7)/$H14*OFFSET(ORÇAMENTO!$X$15,ROW(AF14)-ROW(AF$15),0),
              ROUND(ROUND(OFFSET($P14,0,AF$13),15-13*ORÇAMENTO!$AF$7)*OFFSET(ORÇAMENTO!$W$15,ROW(AF14)-ROW(AF$15),0),15-13*ORÇAMENTO!$AF$11)),
         0)</f>
        <v>0</v>
      </c>
      <c r="AG14" s="454">
        <f ca="1">IF(AND($D14="Serviço",AG$12&lt;&gt;0,$H14&gt;0,OR(AUTOEVENTO&lt;&gt;"manual",$M14&lt;&gt;$A$15)),
        IF(Import.TipoArredondamento&lt;&gt;"TransfereGOV",
              ROUND(OFFSET($P14,0,AG$13),15-13*ORÇAMENTO!$AF$7)/$H14*OFFSET(ORÇAMENTO!$X$15,ROW(AG14)-ROW(AG$15),0),
              ROUND(ROUND(OFFSET($P14,0,AG$13),15-13*ORÇAMENTO!$AF$7)*OFFSET(ORÇAMENTO!$W$15,ROW(AG14)-ROW(AG$15),0),15-13*ORÇAMENTO!$AF$11)),
         0)</f>
        <v>0</v>
      </c>
      <c r="AH14" s="454">
        <f ca="1">IF(AND($D14="Serviço",AH$12&lt;&gt;0,$H14&gt;0,OR(AUTOEVENTO&lt;&gt;"manual",$M14&lt;&gt;$A$15)),
        IF(Import.TipoArredondamento&lt;&gt;"TransfereGOV",
              ROUND(OFFSET($P14,0,AH$13),15-13*ORÇAMENTO!$AF$7)/$H14*OFFSET(ORÇAMENTO!$X$15,ROW(AH14)-ROW(AH$15),0),
              ROUND(ROUND(OFFSET($P14,0,AH$13),15-13*ORÇAMENTO!$AF$7)*OFFSET(ORÇAMENTO!$W$15,ROW(AH14)-ROW(AH$15),0),15-13*ORÇAMENTO!$AF$11)),
         0)</f>
        <v>0</v>
      </c>
      <c r="AI14" s="454">
        <f ca="1">IF(AND($D14="Serviço",AI$12&lt;&gt;0,$H14&gt;0,OR(AUTOEVENTO&lt;&gt;"manual",$M14&lt;&gt;$A$15)),
        IF(Import.TipoArredondamento&lt;&gt;"TransfereGOV",
              ROUND(OFFSET($P14,0,AI$13),15-13*ORÇAMENTO!$AF$7)/$H14*OFFSET(ORÇAMENTO!$X$15,ROW(AI14)-ROW(AI$15),0),
              ROUND(ROUND(OFFSET($P14,0,AI$13),15-13*ORÇAMENTO!$AF$7)*OFFSET(ORÇAMENTO!$W$15,ROW(AI14)-ROW(AI$15),0),15-13*ORÇAMENTO!$AF$11)),
         0)</f>
        <v>0</v>
      </c>
      <c r="AJ14" s="454">
        <f ca="1">IF(AND($D14="Serviço",AJ$12&lt;&gt;0,$H14&gt;0,OR(AUTOEVENTO&lt;&gt;"manual",$M14&lt;&gt;$A$15)),
        IF(Import.TipoArredondamento&lt;&gt;"TransfereGOV",
              ROUND(OFFSET($P14,0,AJ$13),15-13*ORÇAMENTO!$AF$7)/$H14*OFFSET(ORÇAMENTO!$X$15,ROW(AJ14)-ROW(AJ$15),0),
              ROUND(ROUND(OFFSET($P14,0,AJ$13),15-13*ORÇAMENTO!$AF$7)*OFFSET(ORÇAMENTO!$W$15,ROW(AJ14)-ROW(AJ$15),0),15-13*ORÇAMENTO!$AF$11)),
         0)</f>
        <v>0</v>
      </c>
      <c r="AK14" s="454">
        <f ca="1">IF(AND($D14="Serviço",AK$12&lt;&gt;0,$H14&gt;0,OR(AUTOEVENTO&lt;&gt;"manual",$M14&lt;&gt;$A$15)),
        IF(Import.TipoArredondamento&lt;&gt;"TransfereGOV",
              ROUND(OFFSET($P14,0,AK$13),15-13*ORÇAMENTO!$AF$7)/$H14*OFFSET(ORÇAMENTO!$X$15,ROW(AK14)-ROW(AK$15),0),
              ROUND(ROUND(OFFSET($P14,0,AK$13),15-13*ORÇAMENTO!$AF$7)*OFFSET(ORÇAMENTO!$W$15,ROW(AK14)-ROW(AK$15),0),15-13*ORÇAMENTO!$AF$11)),
         0)</f>
        <v>0</v>
      </c>
      <c r="AM14" s="172" t="e">
        <f ca="1">IF(OR($D14&lt;&gt;"Serviço",AND(AUTOEVENTO="Manual",$M14=$A$15)),0,
         IF(OFFSET(CRONOPLE!$F$15,$M14-$A$15,AM$13)="",10^12,OFFSET(CRONOPLE!$F$15,$M14-$A$15,AM$13)))</f>
        <v>#VALUE!</v>
      </c>
      <c r="AN14" s="172" t="e">
        <f ca="1">IF(OR($D14&lt;&gt;"Serviço",AND(AUTOEVENTO="Manual",$M14=$A$15)),0,
         IF(OFFSET(CRONOPLE!$F$15,$M14-$A$15,AN$13)="",10^12,OFFSET(CRONOPLE!$F$15,$M14-$A$15,AN$13)))</f>
        <v>#VALUE!</v>
      </c>
      <c r="AO14" s="172" t="e">
        <f ca="1">IF(OR($D14&lt;&gt;"Serviço",AND(AUTOEVENTO="Manual",$M14=$A$15)),0,
         IF(OFFSET(CRONOPLE!$F$15,$M14-$A$15,AO$13)="",10^12,OFFSET(CRONOPLE!$F$15,$M14-$A$15,AO$13)))</f>
        <v>#VALUE!</v>
      </c>
      <c r="AP14" s="172" t="e">
        <f ca="1">IF(OR($D14&lt;&gt;"Serviço",AND(AUTOEVENTO="Manual",$M14=$A$15)),0,
         IF(OFFSET(CRONOPLE!$F$15,$M14-$A$15,AP$13)="",10^12,OFFSET(CRONOPLE!$F$15,$M14-$A$15,AP$13)))</f>
        <v>#VALUE!</v>
      </c>
      <c r="AQ14" s="172" t="e">
        <f ca="1">IF(OR($D14&lt;&gt;"Serviço",AND(AUTOEVENTO="Manual",$M14=$A$15)),0,
         IF(OFFSET(CRONOPLE!$F$15,$M14-$A$15,AQ$13)="",10^12,OFFSET(CRONOPLE!$F$15,$M14-$A$15,AQ$13)))</f>
        <v>#VALUE!</v>
      </c>
      <c r="AR14" s="172" t="e">
        <f ca="1">IF(OR($D14&lt;&gt;"Serviço",AND(AUTOEVENTO="Manual",$M14=$A$15)),0,
         IF(OFFSET(CRONOPLE!$F$15,$M14-$A$15,AR$13)="",10^12,OFFSET(CRONOPLE!$F$15,$M14-$A$15,AR$13)))</f>
        <v>#VALUE!</v>
      </c>
      <c r="AS14" s="172" t="e">
        <f ca="1">IF(OR($D14&lt;&gt;"Serviço",AND(AUTOEVENTO="Manual",$M14=$A$15)),0,
         IF(OFFSET(CRONOPLE!$F$15,$M14-$A$15,AS$13)="",10^12,OFFSET(CRONOPLE!$F$15,$M14-$A$15,AS$13)))</f>
        <v>#VALUE!</v>
      </c>
      <c r="AT14" s="172" t="e">
        <f ca="1">IF(OR($D14&lt;&gt;"Serviço",AND(AUTOEVENTO="Manual",$M14=$A$15)),0,
         IF(OFFSET(CRONOPLE!$F$15,$M14-$A$15,AT$13)="",10^12,OFFSET(CRONOPLE!$F$15,$M14-$A$15,AT$13)))</f>
        <v>#VALUE!</v>
      </c>
      <c r="AU14" s="172" t="e">
        <f ca="1">IF(OR($D14&lt;&gt;"Serviço",AND(AUTOEVENTO="Manual",$M14=$A$15)),0,
         IF(OFFSET(CRONOPLE!$F$15,$M14-$A$15,AU$13)="",10^12,OFFSET(CRONOPLE!$F$15,$M14-$A$15,AU$13)))</f>
        <v>#VALUE!</v>
      </c>
      <c r="AV14" s="172" t="e">
        <f ca="1">IF(OR($D14&lt;&gt;"Serviço",AND(AUTOEVENTO="Manual",$M14=$A$15)),0,
         IF(OFFSET(CRONOPLE!$F$15,$M14-$A$15,AV$13)="",10^12,OFFSET(CRONOPLE!$F$15,$M14-$A$15,AV$13)))</f>
        <v>#VALUE!</v>
      </c>
      <c r="AX14" s="173">
        <f ca="1">IF(OR($D14&lt;&gt;"Serviço",AND(AUTOEVENTO="Manual",$M14=$A$15),$M14&gt;(ROW(PLE.lastrow)-ROW(PLE.firstrow))),0,
           IF(OFFSET(PLE!$G$15,$M14-$A$15,AX$13)="",10^12,OFFSET(PLE!$G$15,$M14-$A$15,AX$13)))</f>
        <v>0</v>
      </c>
      <c r="AY14" s="173">
        <f ca="1">IF(OR($D14&lt;&gt;"Serviço",AND(AUTOEVENTO="Manual",$M14=$A$15),$M14&gt;(ROW(PLE.lastrow)-ROW(PLE.firstrow))),0,
           IF(OFFSET(PLE!$G$15,$M14-$A$15,AY$13)="",10^12,OFFSET(PLE!$G$15,$M14-$A$15,AY$13)))</f>
        <v>0</v>
      </c>
      <c r="AZ14" s="173">
        <f ca="1">IF(OR($D14&lt;&gt;"Serviço",AND(AUTOEVENTO="Manual",$M14=$A$15),$M14&gt;(ROW(PLE.lastrow)-ROW(PLE.firstrow))),0,
           IF(OFFSET(PLE!$G$15,$M14-$A$15,AZ$13)="",10^12,OFFSET(PLE!$G$15,$M14-$A$15,AZ$13)))</f>
        <v>0</v>
      </c>
      <c r="BA14" s="173">
        <f ca="1">IF(OR($D14&lt;&gt;"Serviço",AND(AUTOEVENTO="Manual",$M14=$A$15),$M14&gt;(ROW(PLE.lastrow)-ROW(PLE.firstrow))),0,
           IF(OFFSET(PLE!$G$15,$M14-$A$15,BA$13)="",10^12,OFFSET(PLE!$G$15,$M14-$A$15,BA$13)))</f>
        <v>0</v>
      </c>
      <c r="BB14" s="173">
        <f ca="1">IF(OR($D14&lt;&gt;"Serviço",AND(AUTOEVENTO="Manual",$M14=$A$15),$M14&gt;(ROW(PLE.lastrow)-ROW(PLE.firstrow))),0,
           IF(OFFSET(PLE!$G$15,$M14-$A$15,BB$13)="",10^12,OFFSET(PLE!$G$15,$M14-$A$15,BB$13)))</f>
        <v>0</v>
      </c>
      <c r="BC14" s="173">
        <f ca="1">IF(OR($D14&lt;&gt;"Serviço",AND(AUTOEVENTO="Manual",$M14=$A$15),$M14&gt;(ROW(PLE.lastrow)-ROW(PLE.firstrow))),0,
           IF(OFFSET(PLE!$G$15,$M14-$A$15,BC$13)="",10^12,OFFSET(PLE!$G$15,$M14-$A$15,BC$13)))</f>
        <v>0</v>
      </c>
      <c r="BD14" s="173">
        <f ca="1">IF(OR($D14&lt;&gt;"Serviço",AND(AUTOEVENTO="Manual",$M14=$A$15),$M14&gt;(ROW(PLE.lastrow)-ROW(PLE.firstrow))),0,
           IF(OFFSET(PLE!$G$15,$M14-$A$15,BD$13)="",10^12,OFFSET(PLE!$G$15,$M14-$A$15,BD$13)))</f>
        <v>0</v>
      </c>
      <c r="BE14" s="173">
        <f ca="1">IF(OR($D14&lt;&gt;"Serviço",AND(AUTOEVENTO="Manual",$M14=$A$15),$M14&gt;(ROW(PLE.lastrow)-ROW(PLE.firstrow))),0,
           IF(OFFSET(PLE!$G$15,$M14-$A$15,BE$13)="",10^12,OFFSET(PLE!$G$15,$M14-$A$15,BE$13)))</f>
        <v>0</v>
      </c>
      <c r="BF14" s="173">
        <f ca="1">IF(OR($D14&lt;&gt;"Serviço",AND(AUTOEVENTO="Manual",$M14=$A$15),$M14&gt;(ROW(PLE.lastrow)-ROW(PLE.firstrow))),0,
           IF(OFFSET(PLE!$G$15,$M14-$A$15,BF$13)="",10^12,OFFSET(PLE!$G$15,$M14-$A$15,BF$13)))</f>
        <v>0</v>
      </c>
      <c r="BG14" s="173">
        <f ca="1">IF(OR($D14&lt;&gt;"Serviço",AND(AUTOEVENTO="Manual",$M14=$A$15),$M14&gt;(ROW(PLE.lastrow)-ROW(PLE.firstrow))),0,
           IF(OFFSET(PLE!$G$15,$M14-$A$15,BG$13)="",10^12,OFFSET(PLE!$G$15,$M14-$A$15,BG$13)))</f>
        <v>0</v>
      </c>
    </row>
    <row r="15" spans="1:59" ht="12.75" customHeight="1" x14ac:dyDescent="0.2">
      <c r="A15" s="7" cm="1">
        <f t="array" aca="1" ref="A15" ca="1">IF(AdmLocal="Automática",1,0)</f>
        <v>0</v>
      </c>
      <c r="B15" s="7" t="str">
        <f ca="1">OFFSET(ORÇAMENTO!C$15,ROW(B15)-ROW(B$15),0)</f>
        <v>L</v>
      </c>
      <c r="C15" s="7" t="str">
        <f ca="1">OFFSET(ORÇAMENTO!L$15,ROW(C15)-ROW(C$15),0)</f>
        <v>F</v>
      </c>
      <c r="D15" s="131" t="str">
        <f>IF(TIPOORCAMENTO="LICITADO","CTEF","LOTE")</f>
        <v>LOTE</v>
      </c>
      <c r="E15" s="725" t="str">
        <f>Import.DescLote</f>
        <v>COBERTURA DE QUADRA</v>
      </c>
      <c r="F15" s="725"/>
      <c r="G15" s="725"/>
      <c r="H15" s="725"/>
      <c r="I15" s="470"/>
      <c r="J15" s="523"/>
      <c r="K15" s="642"/>
      <c r="L15" s="166" t="s">
        <v>768</v>
      </c>
      <c r="M15" s="574">
        <v>0</v>
      </c>
      <c r="N15" s="174" t="s">
        <v>781</v>
      </c>
      <c r="O15" s="175" t="e">
        <f ca="1">OFFSET($AA$15,0,O$13)</f>
        <v>#VALUE!</v>
      </c>
      <c r="Q15" s="176">
        <f t="shared" ref="Q15:Z15" ca="1" si="5">OFFSET($AA$15,0,Q$13)</f>
        <v>0</v>
      </c>
      <c r="R15" s="175">
        <f t="shared" ca="1" si="5"/>
        <v>0</v>
      </c>
      <c r="S15" s="175">
        <f t="shared" ca="1" si="5"/>
        <v>0</v>
      </c>
      <c r="T15" s="175">
        <f t="shared" ca="1" si="5"/>
        <v>0</v>
      </c>
      <c r="U15" s="175">
        <f t="shared" ca="1" si="5"/>
        <v>0</v>
      </c>
      <c r="V15" s="175">
        <f t="shared" ca="1" si="5"/>
        <v>0</v>
      </c>
      <c r="W15" s="175">
        <f t="shared" ca="1" si="5"/>
        <v>0</v>
      </c>
      <c r="X15" s="175">
        <f t="shared" ca="1" si="5"/>
        <v>0</v>
      </c>
      <c r="Y15" s="175">
        <f t="shared" ca="1" si="5"/>
        <v>0</v>
      </c>
      <c r="Z15" s="177">
        <f t="shared" ca="1" si="5"/>
        <v>0</v>
      </c>
      <c r="AB15" s="178">
        <f ca="1">ROUND(SUM(OFFSET(AB$15,1,0):AB$27),2)</f>
        <v>0</v>
      </c>
      <c r="AC15" s="178">
        <f ca="1">SUM(OFFSET(AC$15,1,0):AC$27)</f>
        <v>0</v>
      </c>
      <c r="AD15" s="178">
        <f ca="1">SUM(OFFSET(AD$15,1,0):AD$27)</f>
        <v>0</v>
      </c>
      <c r="AE15" s="178">
        <f ca="1">SUM(OFFSET(AE$15,1,0):AE$27)</f>
        <v>0</v>
      </c>
      <c r="AF15" s="178">
        <f ca="1">SUM(OFFSET(AF$15,1,0):AF$27)</f>
        <v>0</v>
      </c>
      <c r="AG15" s="178">
        <f ca="1">SUM(OFFSET(AG$15,1,0):AG$27)</f>
        <v>0</v>
      </c>
      <c r="AH15" s="178">
        <f ca="1">SUM(OFFSET(AH$15,1,0):AH$27)</f>
        <v>0</v>
      </c>
      <c r="AI15" s="178">
        <f ca="1">SUM(OFFSET(AI$15,1,0):AI$27)</f>
        <v>0</v>
      </c>
      <c r="AJ15" s="178">
        <f ca="1">SUM(OFFSET(AJ$15,1,0):AJ$27)</f>
        <v>0</v>
      </c>
      <c r="AK15" s="178">
        <f ca="1">SUM(OFFSET(AK$15,1,0):AK$27)</f>
        <v>0</v>
      </c>
      <c r="AM15" s="179">
        <f>10^12</f>
        <v>1000000000000</v>
      </c>
      <c r="AN15" s="179">
        <f t="shared" ref="AN15:AV15" si="6">10^12</f>
        <v>1000000000000</v>
      </c>
      <c r="AO15" s="179">
        <f t="shared" si="6"/>
        <v>1000000000000</v>
      </c>
      <c r="AP15" s="179">
        <f t="shared" si="6"/>
        <v>1000000000000</v>
      </c>
      <c r="AQ15" s="179">
        <f t="shared" si="6"/>
        <v>1000000000000</v>
      </c>
      <c r="AR15" s="179">
        <f t="shared" si="6"/>
        <v>1000000000000</v>
      </c>
      <c r="AS15" s="179">
        <f t="shared" si="6"/>
        <v>1000000000000</v>
      </c>
      <c r="AT15" s="179">
        <f t="shared" si="6"/>
        <v>1000000000000</v>
      </c>
      <c r="AU15" s="179">
        <f t="shared" si="6"/>
        <v>1000000000000</v>
      </c>
      <c r="AV15" s="179">
        <f t="shared" si="6"/>
        <v>1000000000000</v>
      </c>
      <c r="AX15" s="179">
        <f t="shared" ref="AX15:BG15" si="7">10^12</f>
        <v>1000000000000</v>
      </c>
      <c r="AY15" s="179">
        <f t="shared" si="7"/>
        <v>1000000000000</v>
      </c>
      <c r="AZ15" s="179">
        <f t="shared" si="7"/>
        <v>1000000000000</v>
      </c>
      <c r="BA15" s="179">
        <f t="shared" si="7"/>
        <v>1000000000000</v>
      </c>
      <c r="BB15" s="179">
        <f t="shared" si="7"/>
        <v>1000000000000</v>
      </c>
      <c r="BC15" s="179">
        <f t="shared" si="7"/>
        <v>1000000000000</v>
      </c>
      <c r="BD15" s="179">
        <f t="shared" si="7"/>
        <v>1000000000000</v>
      </c>
      <c r="BE15" s="179">
        <f t="shared" si="7"/>
        <v>1000000000000</v>
      </c>
      <c r="BF15" s="179">
        <f t="shared" si="7"/>
        <v>1000000000000</v>
      </c>
      <c r="BG15" s="179">
        <f t="shared" si="7"/>
        <v>1000000000000</v>
      </c>
    </row>
    <row r="16" spans="1:59" ht="12.75" x14ac:dyDescent="0.2">
      <c r="A16" s="7" t="str">
        <f t="shared" ref="A16:A26" ca="1" si="8">IF(AUTOEVENTO="Manual",IF(K16&lt;&gt;"",MIN(VALUE(LEFT(K16,FIND(".",K16)-1)),COUNTA(EVENTOS.Lista)),0),IF(OR($B16&gt;AUTOEVENTO,$B16="S",$B16=0),SUBSTITUTE(OFFSET($A16,-1,0),IF($D16="Serviço",".",""),""),ROW(A16)-ROW($A$15)&amp;"."))</f>
        <v>1.</v>
      </c>
      <c r="B16" s="7">
        <f ca="1">OFFSET(ORÇAMENTO!C$15,ROW(B16)-ROW(B$15),0)</f>
        <v>1</v>
      </c>
      <c r="C16" s="7" t="str">
        <f ca="1">OFFSET(ORÇAMENTO!L$15,ROW(C16)-ROW(C$15),0)</f>
        <v>F</v>
      </c>
      <c r="D16" s="117" t="str">
        <f ca="1">OFFSET(ORÇAMENTO!N$15,ROW(D16)-ROW(D$15),0)</f>
        <v>Meta</v>
      </c>
      <c r="E16" s="118" t="str">
        <f ca="1">OFFSET(ORÇAMENTO!O$15,ROW(E16)-ROW(E$15),0)</f>
        <v>1.</v>
      </c>
      <c r="F16" s="164" t="str">
        <f ca="1">OFFSET(ORÇAMENTO!R$15,ROW(F16)-ROW(F$15),0)</f>
        <v>COBERTURA DE QUADRA - EMEI IRACEMA CIDADE</v>
      </c>
      <c r="G16" s="165" t="str">
        <f ca="1">IF($D16&lt;&gt;"Serviço","",OFFSET(ORÇAMENTO!S$15,ROW(G16)-ROW(G$15),0))</f>
        <v/>
      </c>
      <c r="H16" s="123">
        <f ca="1">IF($D16&lt;&gt;"Serviço",0,IF(ACOMPANHAMENTO="BM",ROUND(OFFSET(ORÇAMENTO!AJ$15,ROW(H16)-ROW(H$15),0),15-13*ORÇAMENTO!$AF$7),SUMPRODUCT(($Q$1:$AA$1=1)*ROUND($Q16:$AA16,15-13*ORÇAMENTO!$AF$7))))</f>
        <v>0</v>
      </c>
      <c r="I16" s="469"/>
      <c r="J16" s="581" t="str" cm="1">
        <f t="array" aca="1" ref="J16" ca="1">IF(B16&lt;&gt;"S","",IF(AND(ACOMPANHAMENTO="PLE",AUTOEVENTO="Manual",OR(H16&gt;0,ORÇAMENTO!AC16="QUANT."),OR(K16="",M16=0,N16="")),"►",IF(AND(ACOMPANHAMENTO="PLE",ORÇAMENTO!AC16="QUANT."),"►►",IF(AND(COUNTIF($P$11:$AA$11,"▼")=0,H16&gt;0,I16=""),"◄",""))))</f>
        <v/>
      </c>
      <c r="K16" s="641"/>
      <c r="L16" s="166" t="s">
        <v>768</v>
      </c>
      <c r="M16" s="167" t="str">
        <f ca="1">IF($D16&lt;&gt;"Serviço","",
          IF(AUTOEVENTO="manual",$A16,
                IF(ISERROR(MATCH($A16,$A$15:OFFSET($A16,-1,0),0)),MAX($M$15:OFFSET(M16,-1,0))+1,
                      INDEX($M$15:OFFSET(M16,-1,0),MATCH($A16,$A$15:OFFSET($A16,-1,0),0)))))</f>
        <v/>
      </c>
      <c r="N16" s="168" t="str">
        <f ca="1">IF($D16&lt;&gt;"Serviço","",
         IF(AUTOEVENTO="Manual",
                IF($A16=0,"&lt;-- defina o número do agrupador",
                       OFFSET(EVENTOS!$D$15,$A16-$A$15,0)),
                OFFSET($F$15,$A16,0)))</f>
        <v/>
      </c>
      <c r="O16" s="169"/>
      <c r="Q16" s="169"/>
      <c r="R16" s="170"/>
      <c r="S16" s="170"/>
      <c r="T16" s="170"/>
      <c r="U16" s="170"/>
      <c r="V16" s="170"/>
      <c r="W16" s="170"/>
      <c r="X16" s="170"/>
      <c r="Y16" s="170"/>
      <c r="Z16" s="171"/>
      <c r="AB16" s="454">
        <f ca="1">IF(AND($D16="Serviço",AB$12&lt;&gt;0,$H16&gt;0,OR(AUTOEVENTO&lt;&gt;"manual",$M16&lt;&gt;$A$15)),
        IF(Import.TipoArredondamento&lt;&gt;"TransfereGOV",
              ROUND(OFFSET($P16,0,AB$13),15-13*ORÇAMENTO!$AF$7)/$H16*OFFSET(ORÇAMENTO!$X$15,ROW(AB16)-ROW(AB$15),0),
              ROUND(ROUND(OFFSET($P16,0,AB$13),15-13*ORÇAMENTO!$AF$7)*OFFSET(ORÇAMENTO!$W$15,ROW(AB16)-ROW(AB$15),0),15-13*ORÇAMENTO!$AF$11)),
         0)</f>
        <v>0</v>
      </c>
      <c r="AC16" s="454">
        <f ca="1">IF(AND($D16="Serviço",AC$12&lt;&gt;0,$H16&gt;0,OR(AUTOEVENTO&lt;&gt;"manual",$M16&lt;&gt;$A$15)),
        IF(Import.TipoArredondamento&lt;&gt;"TransfereGOV",
              ROUND(OFFSET($P16,0,AC$13),15-13*ORÇAMENTO!$AF$7)/$H16*OFFSET(ORÇAMENTO!$X$15,ROW(AC16)-ROW(AC$15),0),
              ROUND(ROUND(OFFSET($P16,0,AC$13),15-13*ORÇAMENTO!$AF$7)*OFFSET(ORÇAMENTO!$W$15,ROW(AC16)-ROW(AC$15),0),15-13*ORÇAMENTO!$AF$11)),
         0)</f>
        <v>0</v>
      </c>
      <c r="AD16" s="454">
        <f ca="1">IF(AND($D16="Serviço",AD$12&lt;&gt;0,$H16&gt;0,OR(AUTOEVENTO&lt;&gt;"manual",$M16&lt;&gt;$A$15)),
        IF(Import.TipoArredondamento&lt;&gt;"TransfereGOV",
              ROUND(OFFSET($P16,0,AD$13),15-13*ORÇAMENTO!$AF$7)/$H16*OFFSET(ORÇAMENTO!$X$15,ROW(AD16)-ROW(AD$15),0),
              ROUND(ROUND(OFFSET($P16,0,AD$13),15-13*ORÇAMENTO!$AF$7)*OFFSET(ORÇAMENTO!$W$15,ROW(AD16)-ROW(AD$15),0),15-13*ORÇAMENTO!$AF$11)),
         0)</f>
        <v>0</v>
      </c>
      <c r="AE16" s="454">
        <f ca="1">IF(AND($D16="Serviço",AE$12&lt;&gt;0,$H16&gt;0,OR(AUTOEVENTO&lt;&gt;"manual",$M16&lt;&gt;$A$15)),
        IF(Import.TipoArredondamento&lt;&gt;"TransfereGOV",
              ROUND(OFFSET($P16,0,AE$13),15-13*ORÇAMENTO!$AF$7)/$H16*OFFSET(ORÇAMENTO!$X$15,ROW(AE16)-ROW(AE$15),0),
              ROUND(ROUND(OFFSET($P16,0,AE$13),15-13*ORÇAMENTO!$AF$7)*OFFSET(ORÇAMENTO!$W$15,ROW(AE16)-ROW(AE$15),0),15-13*ORÇAMENTO!$AF$11)),
         0)</f>
        <v>0</v>
      </c>
      <c r="AF16" s="454">
        <f ca="1">IF(AND($D16="Serviço",AF$12&lt;&gt;0,$H16&gt;0,OR(AUTOEVENTO&lt;&gt;"manual",$M16&lt;&gt;$A$15)),
        IF(Import.TipoArredondamento&lt;&gt;"TransfereGOV",
              ROUND(OFFSET($P16,0,AF$13),15-13*ORÇAMENTO!$AF$7)/$H16*OFFSET(ORÇAMENTO!$X$15,ROW(AF16)-ROW(AF$15),0),
              ROUND(ROUND(OFFSET($P16,0,AF$13),15-13*ORÇAMENTO!$AF$7)*OFFSET(ORÇAMENTO!$W$15,ROW(AF16)-ROW(AF$15),0),15-13*ORÇAMENTO!$AF$11)),
         0)</f>
        <v>0</v>
      </c>
      <c r="AG16" s="454">
        <f ca="1">IF(AND($D16="Serviço",AG$12&lt;&gt;0,$H16&gt;0,OR(AUTOEVENTO&lt;&gt;"manual",$M16&lt;&gt;$A$15)),
        IF(Import.TipoArredondamento&lt;&gt;"TransfereGOV",
              ROUND(OFFSET($P16,0,AG$13),15-13*ORÇAMENTO!$AF$7)/$H16*OFFSET(ORÇAMENTO!$X$15,ROW(AG16)-ROW(AG$15),0),
              ROUND(ROUND(OFFSET($P16,0,AG$13),15-13*ORÇAMENTO!$AF$7)*OFFSET(ORÇAMENTO!$W$15,ROW(AG16)-ROW(AG$15),0),15-13*ORÇAMENTO!$AF$11)),
         0)</f>
        <v>0</v>
      </c>
      <c r="AH16" s="454">
        <f ca="1">IF(AND($D16="Serviço",AH$12&lt;&gt;0,$H16&gt;0,OR(AUTOEVENTO&lt;&gt;"manual",$M16&lt;&gt;$A$15)),
        IF(Import.TipoArredondamento&lt;&gt;"TransfereGOV",
              ROUND(OFFSET($P16,0,AH$13),15-13*ORÇAMENTO!$AF$7)/$H16*OFFSET(ORÇAMENTO!$X$15,ROW(AH16)-ROW(AH$15),0),
              ROUND(ROUND(OFFSET($P16,0,AH$13),15-13*ORÇAMENTO!$AF$7)*OFFSET(ORÇAMENTO!$W$15,ROW(AH16)-ROW(AH$15),0),15-13*ORÇAMENTO!$AF$11)),
         0)</f>
        <v>0</v>
      </c>
      <c r="AI16" s="454">
        <f ca="1">IF(AND($D16="Serviço",AI$12&lt;&gt;0,$H16&gt;0,OR(AUTOEVENTO&lt;&gt;"manual",$M16&lt;&gt;$A$15)),
        IF(Import.TipoArredondamento&lt;&gt;"TransfereGOV",
              ROUND(OFFSET($P16,0,AI$13),15-13*ORÇAMENTO!$AF$7)/$H16*OFFSET(ORÇAMENTO!$X$15,ROW(AI16)-ROW(AI$15),0),
              ROUND(ROUND(OFFSET($P16,0,AI$13),15-13*ORÇAMENTO!$AF$7)*OFFSET(ORÇAMENTO!$W$15,ROW(AI16)-ROW(AI$15),0),15-13*ORÇAMENTO!$AF$11)),
         0)</f>
        <v>0</v>
      </c>
      <c r="AJ16" s="454">
        <f ca="1">IF(AND($D16="Serviço",AJ$12&lt;&gt;0,$H16&gt;0,OR(AUTOEVENTO&lt;&gt;"manual",$M16&lt;&gt;$A$15)),
        IF(Import.TipoArredondamento&lt;&gt;"TransfereGOV",
              ROUND(OFFSET($P16,0,AJ$13),15-13*ORÇAMENTO!$AF$7)/$H16*OFFSET(ORÇAMENTO!$X$15,ROW(AJ16)-ROW(AJ$15),0),
              ROUND(ROUND(OFFSET($P16,0,AJ$13),15-13*ORÇAMENTO!$AF$7)*OFFSET(ORÇAMENTO!$W$15,ROW(AJ16)-ROW(AJ$15),0),15-13*ORÇAMENTO!$AF$11)),
         0)</f>
        <v>0</v>
      </c>
      <c r="AK16" s="454">
        <f ca="1">IF(AND($D16="Serviço",AK$12&lt;&gt;0,$H16&gt;0,OR(AUTOEVENTO&lt;&gt;"manual",$M16&lt;&gt;$A$15)),
        IF(Import.TipoArredondamento&lt;&gt;"TransfereGOV",
              ROUND(OFFSET($P16,0,AK$13),15-13*ORÇAMENTO!$AF$7)/$H16*OFFSET(ORÇAMENTO!$X$15,ROW(AK16)-ROW(AK$15),0),
              ROUND(ROUND(OFFSET($P16,0,AK$13),15-13*ORÇAMENTO!$AF$7)*OFFSET(ORÇAMENTO!$W$15,ROW(AK16)-ROW(AK$15),0),15-13*ORÇAMENTO!$AF$11)),
         0)</f>
        <v>0</v>
      </c>
      <c r="AM16" s="172">
        <f ca="1">IF(OR($D16&lt;&gt;"Serviço",AND(AUTOEVENTO="Manual",$M16=$A$15)),0,
         IF(OFFSET(CRONOPLE!$F$15,$M16-$A$15,AM$13)="",10^12,OFFSET(CRONOPLE!$F$15,$M16-$A$15,AM$13)))</f>
        <v>0</v>
      </c>
      <c r="AN16" s="172">
        <f ca="1">IF(OR($D16&lt;&gt;"Serviço",AND(AUTOEVENTO="Manual",$M16=$A$15)),0,
         IF(OFFSET(CRONOPLE!$F$15,$M16-$A$15,AN$13)="",10^12,OFFSET(CRONOPLE!$F$15,$M16-$A$15,AN$13)))</f>
        <v>0</v>
      </c>
      <c r="AO16" s="172">
        <f ca="1">IF(OR($D16&lt;&gt;"Serviço",AND(AUTOEVENTO="Manual",$M16=$A$15)),0,
         IF(OFFSET(CRONOPLE!$F$15,$M16-$A$15,AO$13)="",10^12,OFFSET(CRONOPLE!$F$15,$M16-$A$15,AO$13)))</f>
        <v>0</v>
      </c>
      <c r="AP16" s="172">
        <f ca="1">IF(OR($D16&lt;&gt;"Serviço",AND(AUTOEVENTO="Manual",$M16=$A$15)),0,
         IF(OFFSET(CRONOPLE!$F$15,$M16-$A$15,AP$13)="",10^12,OFFSET(CRONOPLE!$F$15,$M16-$A$15,AP$13)))</f>
        <v>0</v>
      </c>
      <c r="AQ16" s="172">
        <f ca="1">IF(OR($D16&lt;&gt;"Serviço",AND(AUTOEVENTO="Manual",$M16=$A$15)),0,
         IF(OFFSET(CRONOPLE!$F$15,$M16-$A$15,AQ$13)="",10^12,OFFSET(CRONOPLE!$F$15,$M16-$A$15,AQ$13)))</f>
        <v>0</v>
      </c>
      <c r="AR16" s="172">
        <f ca="1">IF(OR($D16&lt;&gt;"Serviço",AND(AUTOEVENTO="Manual",$M16=$A$15)),0,
         IF(OFFSET(CRONOPLE!$F$15,$M16-$A$15,AR$13)="",10^12,OFFSET(CRONOPLE!$F$15,$M16-$A$15,AR$13)))</f>
        <v>0</v>
      </c>
      <c r="AS16" s="172">
        <f ca="1">IF(OR($D16&lt;&gt;"Serviço",AND(AUTOEVENTO="Manual",$M16=$A$15)),0,
         IF(OFFSET(CRONOPLE!$F$15,$M16-$A$15,AS$13)="",10^12,OFFSET(CRONOPLE!$F$15,$M16-$A$15,AS$13)))</f>
        <v>0</v>
      </c>
      <c r="AT16" s="172">
        <f ca="1">IF(OR($D16&lt;&gt;"Serviço",AND(AUTOEVENTO="Manual",$M16=$A$15)),0,
         IF(OFFSET(CRONOPLE!$F$15,$M16-$A$15,AT$13)="",10^12,OFFSET(CRONOPLE!$F$15,$M16-$A$15,AT$13)))</f>
        <v>0</v>
      </c>
      <c r="AU16" s="172">
        <f ca="1">IF(OR($D16&lt;&gt;"Serviço",AND(AUTOEVENTO="Manual",$M16=$A$15)),0,
         IF(OFFSET(CRONOPLE!$F$15,$M16-$A$15,AU$13)="",10^12,OFFSET(CRONOPLE!$F$15,$M16-$A$15,AU$13)))</f>
        <v>0</v>
      </c>
      <c r="AV16" s="172">
        <f ca="1">IF(OR($D16&lt;&gt;"Serviço",AND(AUTOEVENTO="Manual",$M16=$A$15)),0,
         IF(OFFSET(CRONOPLE!$F$15,$M16-$A$15,AV$13)="",10^12,OFFSET(CRONOPLE!$F$15,$M16-$A$15,AV$13)))</f>
        <v>0</v>
      </c>
      <c r="AX16" s="173">
        <f ca="1">IF(OR($D16&lt;&gt;"Serviço",AND(AUTOEVENTO="Manual",$M16=$A$15),$M16&gt;(ROW(PLE.lastrow)-ROW(PLE.firstrow))),0,
           IF(OFFSET(PLE!$G$15,$M16-$A$15,AX$13)="",10^12,OFFSET(PLE!$G$15,$M16-$A$15,AX$13)))</f>
        <v>0</v>
      </c>
      <c r="AY16" s="173">
        <f ca="1">IF(OR($D16&lt;&gt;"Serviço",AND(AUTOEVENTO="Manual",$M16=$A$15),$M16&gt;(ROW(PLE.lastrow)-ROW(PLE.firstrow))),0,
           IF(OFFSET(PLE!$G$15,$M16-$A$15,AY$13)="",10^12,OFFSET(PLE!$G$15,$M16-$A$15,AY$13)))</f>
        <v>0</v>
      </c>
      <c r="AZ16" s="173">
        <f ca="1">IF(OR($D16&lt;&gt;"Serviço",AND(AUTOEVENTO="Manual",$M16=$A$15),$M16&gt;(ROW(PLE.lastrow)-ROW(PLE.firstrow))),0,
           IF(OFFSET(PLE!$G$15,$M16-$A$15,AZ$13)="",10^12,OFFSET(PLE!$G$15,$M16-$A$15,AZ$13)))</f>
        <v>0</v>
      </c>
      <c r="BA16" s="173">
        <f ca="1">IF(OR($D16&lt;&gt;"Serviço",AND(AUTOEVENTO="Manual",$M16=$A$15),$M16&gt;(ROW(PLE.lastrow)-ROW(PLE.firstrow))),0,
           IF(OFFSET(PLE!$G$15,$M16-$A$15,BA$13)="",10^12,OFFSET(PLE!$G$15,$M16-$A$15,BA$13)))</f>
        <v>0</v>
      </c>
      <c r="BB16" s="173">
        <f ca="1">IF(OR($D16&lt;&gt;"Serviço",AND(AUTOEVENTO="Manual",$M16=$A$15),$M16&gt;(ROW(PLE.lastrow)-ROW(PLE.firstrow))),0,
           IF(OFFSET(PLE!$G$15,$M16-$A$15,BB$13)="",10^12,OFFSET(PLE!$G$15,$M16-$A$15,BB$13)))</f>
        <v>0</v>
      </c>
      <c r="BC16" s="173">
        <f ca="1">IF(OR($D16&lt;&gt;"Serviço",AND(AUTOEVENTO="Manual",$M16=$A$15),$M16&gt;(ROW(PLE.lastrow)-ROW(PLE.firstrow))),0,
           IF(OFFSET(PLE!$G$15,$M16-$A$15,BC$13)="",10^12,OFFSET(PLE!$G$15,$M16-$A$15,BC$13)))</f>
        <v>0</v>
      </c>
      <c r="BD16" s="173">
        <f ca="1">IF(OR($D16&lt;&gt;"Serviço",AND(AUTOEVENTO="Manual",$M16=$A$15),$M16&gt;(ROW(PLE.lastrow)-ROW(PLE.firstrow))),0,
           IF(OFFSET(PLE!$G$15,$M16-$A$15,BD$13)="",10^12,OFFSET(PLE!$G$15,$M16-$A$15,BD$13)))</f>
        <v>0</v>
      </c>
      <c r="BE16" s="173">
        <f ca="1">IF(OR($D16&lt;&gt;"Serviço",AND(AUTOEVENTO="Manual",$M16=$A$15),$M16&gt;(ROW(PLE.lastrow)-ROW(PLE.firstrow))),0,
           IF(OFFSET(PLE!$G$15,$M16-$A$15,BE$13)="",10^12,OFFSET(PLE!$G$15,$M16-$A$15,BE$13)))</f>
        <v>0</v>
      </c>
      <c r="BF16" s="173">
        <f ca="1">IF(OR($D16&lt;&gt;"Serviço",AND(AUTOEVENTO="Manual",$M16=$A$15),$M16&gt;(ROW(PLE.lastrow)-ROW(PLE.firstrow))),0,
           IF(OFFSET(PLE!$G$15,$M16-$A$15,BF$13)="",10^12,OFFSET(PLE!$G$15,$M16-$A$15,BF$13)))</f>
        <v>0</v>
      </c>
      <c r="BG16" s="173">
        <f ca="1">IF(OR($D16&lt;&gt;"Serviço",AND(AUTOEVENTO="Manual",$M16=$A$15),$M16&gt;(ROW(PLE.lastrow)-ROW(PLE.firstrow))),0,
           IF(OFFSET(PLE!$G$15,$M16-$A$15,BG$13)="",10^12,OFFSET(PLE!$G$15,$M16-$A$15,BG$13)))</f>
        <v>0</v>
      </c>
    </row>
    <row r="17" spans="1:59" ht="12.75" x14ac:dyDescent="0.2">
      <c r="A17" s="7" t="str">
        <f t="shared" ca="1" si="8"/>
        <v>2.</v>
      </c>
      <c r="B17" s="7">
        <f ca="1">OFFSET(ORÇAMENTO!C$15,ROW(B17)-ROW(B$15),0)</f>
        <v>2</v>
      </c>
      <c r="C17" s="7" t="str">
        <f ca="1">OFFSET(ORÇAMENTO!L$15,ROW(C17)-ROW(C$15),0)</f>
        <v>F</v>
      </c>
      <c r="D17" s="117" t="str">
        <f ca="1">OFFSET(ORÇAMENTO!N$15,ROW(D17)-ROW(D$15),0)</f>
        <v>Nível 2</v>
      </c>
      <c r="E17" s="118" t="str">
        <f ca="1">OFFSET(ORÇAMENTO!O$15,ROW(E17)-ROW(E$15),0)</f>
        <v>1.1.</v>
      </c>
      <c r="F17" s="164" t="str">
        <f ca="1">OFFSET(ORÇAMENTO!R$15,ROW(F17)-ROW(F$15),0)</f>
        <v>FUNDAÇÕES</v>
      </c>
      <c r="G17" s="165" t="str">
        <f ca="1">IF($D17&lt;&gt;"Serviço","",OFFSET(ORÇAMENTO!S$15,ROW(G17)-ROW(G$15),0))</f>
        <v/>
      </c>
      <c r="H17" s="123">
        <f ca="1">IF($D17&lt;&gt;"Serviço",0,IF(ACOMPANHAMENTO="BM",ROUND(OFFSET(ORÇAMENTO!AJ$15,ROW(H17)-ROW(H$15),0),15-13*ORÇAMENTO!$AF$7),SUMPRODUCT(($Q$1:$AA$1=1)*ROUND($Q17:$AA17,15-13*ORÇAMENTO!$AF$7))))</f>
        <v>0</v>
      </c>
      <c r="I17" s="469"/>
      <c r="J17" s="581" t="str" cm="1">
        <f t="array" aca="1" ref="J17" ca="1">IF(B17&lt;&gt;"S","",IF(AND(ACOMPANHAMENTO="PLE",AUTOEVENTO="Manual",OR(H17&gt;0,ORÇAMENTO!AC17="QUANT."),OR(K17="",M17=0,N17="")),"►",IF(AND(ACOMPANHAMENTO="PLE",ORÇAMENTO!AC17="QUANT."),"►►",IF(AND(COUNTIF($P$11:$AA$11,"▼")=0,H17&gt;0,I17=""),"◄",""))))</f>
        <v/>
      </c>
      <c r="K17" s="641"/>
      <c r="L17" s="166" t="s">
        <v>768</v>
      </c>
      <c r="M17" s="167" t="str">
        <f ca="1">IF($D17&lt;&gt;"Serviço","",
          IF(AUTOEVENTO="manual",$A17,
                IF(ISERROR(MATCH($A17,$A$15:OFFSET($A17,-1,0),0)),MAX($M$15:OFFSET(M17,-1,0))+1,
                      INDEX($M$15:OFFSET(M17,-1,0),MATCH($A17,$A$15:OFFSET($A17,-1,0),0)))))</f>
        <v/>
      </c>
      <c r="N17" s="168" t="str">
        <f ca="1">IF($D17&lt;&gt;"Serviço","",
         IF(AUTOEVENTO="Manual",
                IF($A17=0,"&lt;-- defina o número do agrupador",
                       OFFSET(EVENTOS!$D$15,$A17-$A$15,0)),
                OFFSET($F$15,$A17,0)))</f>
        <v/>
      </c>
      <c r="O17" s="169"/>
      <c r="Q17" s="169"/>
      <c r="R17" s="170"/>
      <c r="S17" s="170"/>
      <c r="T17" s="170"/>
      <c r="U17" s="170"/>
      <c r="V17" s="170"/>
      <c r="W17" s="170"/>
      <c r="X17" s="170"/>
      <c r="Y17" s="170"/>
      <c r="Z17" s="171"/>
      <c r="AB17" s="454">
        <f ca="1">IF(AND($D17="Serviço",AB$12&lt;&gt;0,$H17&gt;0,OR(AUTOEVENTO&lt;&gt;"manual",$M17&lt;&gt;$A$15)),
        IF(Import.TipoArredondamento&lt;&gt;"TransfereGOV",
              ROUND(OFFSET($P17,0,AB$13),15-13*ORÇAMENTO!$AF$7)/$H17*OFFSET(ORÇAMENTO!$X$15,ROW(AB17)-ROW(AB$15),0),
              ROUND(ROUND(OFFSET($P17,0,AB$13),15-13*ORÇAMENTO!$AF$7)*OFFSET(ORÇAMENTO!$W$15,ROW(AB17)-ROW(AB$15),0),15-13*ORÇAMENTO!$AF$11)),
         0)</f>
        <v>0</v>
      </c>
      <c r="AC17" s="454">
        <f ca="1">IF(AND($D17="Serviço",AC$12&lt;&gt;0,$H17&gt;0,OR(AUTOEVENTO&lt;&gt;"manual",$M17&lt;&gt;$A$15)),
        IF(Import.TipoArredondamento&lt;&gt;"TransfereGOV",
              ROUND(OFFSET($P17,0,AC$13),15-13*ORÇAMENTO!$AF$7)/$H17*OFFSET(ORÇAMENTO!$X$15,ROW(AC17)-ROW(AC$15),0),
              ROUND(ROUND(OFFSET($P17,0,AC$13),15-13*ORÇAMENTO!$AF$7)*OFFSET(ORÇAMENTO!$W$15,ROW(AC17)-ROW(AC$15),0),15-13*ORÇAMENTO!$AF$11)),
         0)</f>
        <v>0</v>
      </c>
      <c r="AD17" s="454">
        <f ca="1">IF(AND($D17="Serviço",AD$12&lt;&gt;0,$H17&gt;0,OR(AUTOEVENTO&lt;&gt;"manual",$M17&lt;&gt;$A$15)),
        IF(Import.TipoArredondamento&lt;&gt;"TransfereGOV",
              ROUND(OFFSET($P17,0,AD$13),15-13*ORÇAMENTO!$AF$7)/$H17*OFFSET(ORÇAMENTO!$X$15,ROW(AD17)-ROW(AD$15),0),
              ROUND(ROUND(OFFSET($P17,0,AD$13),15-13*ORÇAMENTO!$AF$7)*OFFSET(ORÇAMENTO!$W$15,ROW(AD17)-ROW(AD$15),0),15-13*ORÇAMENTO!$AF$11)),
         0)</f>
        <v>0</v>
      </c>
      <c r="AE17" s="454">
        <f ca="1">IF(AND($D17="Serviço",AE$12&lt;&gt;0,$H17&gt;0,OR(AUTOEVENTO&lt;&gt;"manual",$M17&lt;&gt;$A$15)),
        IF(Import.TipoArredondamento&lt;&gt;"TransfereGOV",
              ROUND(OFFSET($P17,0,AE$13),15-13*ORÇAMENTO!$AF$7)/$H17*OFFSET(ORÇAMENTO!$X$15,ROW(AE17)-ROW(AE$15),0),
              ROUND(ROUND(OFFSET($P17,0,AE$13),15-13*ORÇAMENTO!$AF$7)*OFFSET(ORÇAMENTO!$W$15,ROW(AE17)-ROW(AE$15),0),15-13*ORÇAMENTO!$AF$11)),
         0)</f>
        <v>0</v>
      </c>
      <c r="AF17" s="454">
        <f ca="1">IF(AND($D17="Serviço",AF$12&lt;&gt;0,$H17&gt;0,OR(AUTOEVENTO&lt;&gt;"manual",$M17&lt;&gt;$A$15)),
        IF(Import.TipoArredondamento&lt;&gt;"TransfereGOV",
              ROUND(OFFSET($P17,0,AF$13),15-13*ORÇAMENTO!$AF$7)/$H17*OFFSET(ORÇAMENTO!$X$15,ROW(AF17)-ROW(AF$15),0),
              ROUND(ROUND(OFFSET($P17,0,AF$13),15-13*ORÇAMENTO!$AF$7)*OFFSET(ORÇAMENTO!$W$15,ROW(AF17)-ROW(AF$15),0),15-13*ORÇAMENTO!$AF$11)),
         0)</f>
        <v>0</v>
      </c>
      <c r="AG17" s="454">
        <f ca="1">IF(AND($D17="Serviço",AG$12&lt;&gt;0,$H17&gt;0,OR(AUTOEVENTO&lt;&gt;"manual",$M17&lt;&gt;$A$15)),
        IF(Import.TipoArredondamento&lt;&gt;"TransfereGOV",
              ROUND(OFFSET($P17,0,AG$13),15-13*ORÇAMENTO!$AF$7)/$H17*OFFSET(ORÇAMENTO!$X$15,ROW(AG17)-ROW(AG$15),0),
              ROUND(ROUND(OFFSET($P17,0,AG$13),15-13*ORÇAMENTO!$AF$7)*OFFSET(ORÇAMENTO!$W$15,ROW(AG17)-ROW(AG$15),0),15-13*ORÇAMENTO!$AF$11)),
         0)</f>
        <v>0</v>
      </c>
      <c r="AH17" s="454">
        <f ca="1">IF(AND($D17="Serviço",AH$12&lt;&gt;0,$H17&gt;0,OR(AUTOEVENTO&lt;&gt;"manual",$M17&lt;&gt;$A$15)),
        IF(Import.TipoArredondamento&lt;&gt;"TransfereGOV",
              ROUND(OFFSET($P17,0,AH$13),15-13*ORÇAMENTO!$AF$7)/$H17*OFFSET(ORÇAMENTO!$X$15,ROW(AH17)-ROW(AH$15),0),
              ROUND(ROUND(OFFSET($P17,0,AH$13),15-13*ORÇAMENTO!$AF$7)*OFFSET(ORÇAMENTO!$W$15,ROW(AH17)-ROW(AH$15),0),15-13*ORÇAMENTO!$AF$11)),
         0)</f>
        <v>0</v>
      </c>
      <c r="AI17" s="454">
        <f ca="1">IF(AND($D17="Serviço",AI$12&lt;&gt;0,$H17&gt;0,OR(AUTOEVENTO&lt;&gt;"manual",$M17&lt;&gt;$A$15)),
        IF(Import.TipoArredondamento&lt;&gt;"TransfereGOV",
              ROUND(OFFSET($P17,0,AI$13),15-13*ORÇAMENTO!$AF$7)/$H17*OFFSET(ORÇAMENTO!$X$15,ROW(AI17)-ROW(AI$15),0),
              ROUND(ROUND(OFFSET($P17,0,AI$13),15-13*ORÇAMENTO!$AF$7)*OFFSET(ORÇAMENTO!$W$15,ROW(AI17)-ROW(AI$15),0),15-13*ORÇAMENTO!$AF$11)),
         0)</f>
        <v>0</v>
      </c>
      <c r="AJ17" s="454">
        <f ca="1">IF(AND($D17="Serviço",AJ$12&lt;&gt;0,$H17&gt;0,OR(AUTOEVENTO&lt;&gt;"manual",$M17&lt;&gt;$A$15)),
        IF(Import.TipoArredondamento&lt;&gt;"TransfereGOV",
              ROUND(OFFSET($P17,0,AJ$13),15-13*ORÇAMENTO!$AF$7)/$H17*OFFSET(ORÇAMENTO!$X$15,ROW(AJ17)-ROW(AJ$15),0),
              ROUND(ROUND(OFFSET($P17,0,AJ$13),15-13*ORÇAMENTO!$AF$7)*OFFSET(ORÇAMENTO!$W$15,ROW(AJ17)-ROW(AJ$15),0),15-13*ORÇAMENTO!$AF$11)),
         0)</f>
        <v>0</v>
      </c>
      <c r="AK17" s="454">
        <f ca="1">IF(AND($D17="Serviço",AK$12&lt;&gt;0,$H17&gt;0,OR(AUTOEVENTO&lt;&gt;"manual",$M17&lt;&gt;$A$15)),
        IF(Import.TipoArredondamento&lt;&gt;"TransfereGOV",
              ROUND(OFFSET($P17,0,AK$13),15-13*ORÇAMENTO!$AF$7)/$H17*OFFSET(ORÇAMENTO!$X$15,ROW(AK17)-ROW(AK$15),0),
              ROUND(ROUND(OFFSET($P17,0,AK$13),15-13*ORÇAMENTO!$AF$7)*OFFSET(ORÇAMENTO!$W$15,ROW(AK17)-ROW(AK$15),0),15-13*ORÇAMENTO!$AF$11)),
         0)</f>
        <v>0</v>
      </c>
      <c r="AM17" s="172">
        <f ca="1">IF(OR($D17&lt;&gt;"Serviço",AND(AUTOEVENTO="Manual",$M17=$A$15)),0,
         IF(OFFSET(CRONOPLE!$F$15,$M17-$A$15,AM$13)="",10^12,OFFSET(CRONOPLE!$F$15,$M17-$A$15,AM$13)))</f>
        <v>0</v>
      </c>
      <c r="AN17" s="172">
        <f ca="1">IF(OR($D17&lt;&gt;"Serviço",AND(AUTOEVENTO="Manual",$M17=$A$15)),0,
         IF(OFFSET(CRONOPLE!$F$15,$M17-$A$15,AN$13)="",10^12,OFFSET(CRONOPLE!$F$15,$M17-$A$15,AN$13)))</f>
        <v>0</v>
      </c>
      <c r="AO17" s="172">
        <f ca="1">IF(OR($D17&lt;&gt;"Serviço",AND(AUTOEVENTO="Manual",$M17=$A$15)),0,
         IF(OFFSET(CRONOPLE!$F$15,$M17-$A$15,AO$13)="",10^12,OFFSET(CRONOPLE!$F$15,$M17-$A$15,AO$13)))</f>
        <v>0</v>
      </c>
      <c r="AP17" s="172">
        <f ca="1">IF(OR($D17&lt;&gt;"Serviço",AND(AUTOEVENTO="Manual",$M17=$A$15)),0,
         IF(OFFSET(CRONOPLE!$F$15,$M17-$A$15,AP$13)="",10^12,OFFSET(CRONOPLE!$F$15,$M17-$A$15,AP$13)))</f>
        <v>0</v>
      </c>
      <c r="AQ17" s="172">
        <f ca="1">IF(OR($D17&lt;&gt;"Serviço",AND(AUTOEVENTO="Manual",$M17=$A$15)),0,
         IF(OFFSET(CRONOPLE!$F$15,$M17-$A$15,AQ$13)="",10^12,OFFSET(CRONOPLE!$F$15,$M17-$A$15,AQ$13)))</f>
        <v>0</v>
      </c>
      <c r="AR17" s="172">
        <f ca="1">IF(OR($D17&lt;&gt;"Serviço",AND(AUTOEVENTO="Manual",$M17=$A$15)),0,
         IF(OFFSET(CRONOPLE!$F$15,$M17-$A$15,AR$13)="",10^12,OFFSET(CRONOPLE!$F$15,$M17-$A$15,AR$13)))</f>
        <v>0</v>
      </c>
      <c r="AS17" s="172">
        <f ca="1">IF(OR($D17&lt;&gt;"Serviço",AND(AUTOEVENTO="Manual",$M17=$A$15)),0,
         IF(OFFSET(CRONOPLE!$F$15,$M17-$A$15,AS$13)="",10^12,OFFSET(CRONOPLE!$F$15,$M17-$A$15,AS$13)))</f>
        <v>0</v>
      </c>
      <c r="AT17" s="172">
        <f ca="1">IF(OR($D17&lt;&gt;"Serviço",AND(AUTOEVENTO="Manual",$M17=$A$15)),0,
         IF(OFFSET(CRONOPLE!$F$15,$M17-$A$15,AT$13)="",10^12,OFFSET(CRONOPLE!$F$15,$M17-$A$15,AT$13)))</f>
        <v>0</v>
      </c>
      <c r="AU17" s="172">
        <f ca="1">IF(OR($D17&lt;&gt;"Serviço",AND(AUTOEVENTO="Manual",$M17=$A$15)),0,
         IF(OFFSET(CRONOPLE!$F$15,$M17-$A$15,AU$13)="",10^12,OFFSET(CRONOPLE!$F$15,$M17-$A$15,AU$13)))</f>
        <v>0</v>
      </c>
      <c r="AV17" s="172">
        <f ca="1">IF(OR($D17&lt;&gt;"Serviço",AND(AUTOEVENTO="Manual",$M17=$A$15)),0,
         IF(OFFSET(CRONOPLE!$F$15,$M17-$A$15,AV$13)="",10^12,OFFSET(CRONOPLE!$F$15,$M17-$A$15,AV$13)))</f>
        <v>0</v>
      </c>
      <c r="AX17" s="173">
        <f ca="1">IF(OR($D17&lt;&gt;"Serviço",AND(AUTOEVENTO="Manual",$M17=$A$15),$M17&gt;(ROW(PLE.lastrow)-ROW(PLE.firstrow))),0,
           IF(OFFSET(PLE!$G$15,$M17-$A$15,AX$13)="",10^12,OFFSET(PLE!$G$15,$M17-$A$15,AX$13)))</f>
        <v>0</v>
      </c>
      <c r="AY17" s="173">
        <f ca="1">IF(OR($D17&lt;&gt;"Serviço",AND(AUTOEVENTO="Manual",$M17=$A$15),$M17&gt;(ROW(PLE.lastrow)-ROW(PLE.firstrow))),0,
           IF(OFFSET(PLE!$G$15,$M17-$A$15,AY$13)="",10^12,OFFSET(PLE!$G$15,$M17-$A$15,AY$13)))</f>
        <v>0</v>
      </c>
      <c r="AZ17" s="173">
        <f ca="1">IF(OR($D17&lt;&gt;"Serviço",AND(AUTOEVENTO="Manual",$M17=$A$15),$M17&gt;(ROW(PLE.lastrow)-ROW(PLE.firstrow))),0,
           IF(OFFSET(PLE!$G$15,$M17-$A$15,AZ$13)="",10^12,OFFSET(PLE!$G$15,$M17-$A$15,AZ$13)))</f>
        <v>0</v>
      </c>
      <c r="BA17" s="173">
        <f ca="1">IF(OR($D17&lt;&gt;"Serviço",AND(AUTOEVENTO="Manual",$M17=$A$15),$M17&gt;(ROW(PLE.lastrow)-ROW(PLE.firstrow))),0,
           IF(OFFSET(PLE!$G$15,$M17-$A$15,BA$13)="",10^12,OFFSET(PLE!$G$15,$M17-$A$15,BA$13)))</f>
        <v>0</v>
      </c>
      <c r="BB17" s="173">
        <f ca="1">IF(OR($D17&lt;&gt;"Serviço",AND(AUTOEVENTO="Manual",$M17=$A$15),$M17&gt;(ROW(PLE.lastrow)-ROW(PLE.firstrow))),0,
           IF(OFFSET(PLE!$G$15,$M17-$A$15,BB$13)="",10^12,OFFSET(PLE!$G$15,$M17-$A$15,BB$13)))</f>
        <v>0</v>
      </c>
      <c r="BC17" s="173">
        <f ca="1">IF(OR($D17&lt;&gt;"Serviço",AND(AUTOEVENTO="Manual",$M17=$A$15),$M17&gt;(ROW(PLE.lastrow)-ROW(PLE.firstrow))),0,
           IF(OFFSET(PLE!$G$15,$M17-$A$15,BC$13)="",10^12,OFFSET(PLE!$G$15,$M17-$A$15,BC$13)))</f>
        <v>0</v>
      </c>
      <c r="BD17" s="173">
        <f ca="1">IF(OR($D17&lt;&gt;"Serviço",AND(AUTOEVENTO="Manual",$M17=$A$15),$M17&gt;(ROW(PLE.lastrow)-ROW(PLE.firstrow))),0,
           IF(OFFSET(PLE!$G$15,$M17-$A$15,BD$13)="",10^12,OFFSET(PLE!$G$15,$M17-$A$15,BD$13)))</f>
        <v>0</v>
      </c>
      <c r="BE17" s="173">
        <f ca="1">IF(OR($D17&lt;&gt;"Serviço",AND(AUTOEVENTO="Manual",$M17=$A$15),$M17&gt;(ROW(PLE.lastrow)-ROW(PLE.firstrow))),0,
           IF(OFFSET(PLE!$G$15,$M17-$A$15,BE$13)="",10^12,OFFSET(PLE!$G$15,$M17-$A$15,BE$13)))</f>
        <v>0</v>
      </c>
      <c r="BF17" s="173">
        <f ca="1">IF(OR($D17&lt;&gt;"Serviço",AND(AUTOEVENTO="Manual",$M17=$A$15),$M17&gt;(ROW(PLE.lastrow)-ROW(PLE.firstrow))),0,
           IF(OFFSET(PLE!$G$15,$M17-$A$15,BF$13)="",10^12,OFFSET(PLE!$G$15,$M17-$A$15,BF$13)))</f>
        <v>0</v>
      </c>
      <c r="BG17" s="173">
        <f ca="1">IF(OR($D17&lt;&gt;"Serviço",AND(AUTOEVENTO="Manual",$M17=$A$15),$M17&gt;(ROW(PLE.lastrow)-ROW(PLE.firstrow))),0,
           IF(OFFSET(PLE!$G$15,$M17-$A$15,BG$13)="",10^12,OFFSET(PLE!$G$15,$M17-$A$15,BG$13)))</f>
        <v>0</v>
      </c>
    </row>
    <row r="18" spans="1:59" s="662" customFormat="1" ht="12.75" x14ac:dyDescent="0.2">
      <c r="A18" s="660" t="str">
        <f t="shared" ca="1" si="8"/>
        <v>2</v>
      </c>
      <c r="B18" s="660" t="str">
        <f ca="1">OFFSET(ORÇAMENTO!C$15,ROW(B18)-ROW(B$15),0)</f>
        <v>S</v>
      </c>
      <c r="C18" s="660" t="str">
        <f ca="1">OFFSET(ORÇAMENTO!L$15,ROW(C18)-ROW(C$15),0)</f>
        <v/>
      </c>
      <c r="D18" s="117" t="str">
        <f ca="1">OFFSET(ORÇAMENTO!N$15,ROW(D18)-ROW(D$15),0)</f>
        <v>Serviço</v>
      </c>
      <c r="E18" s="118" t="str">
        <f ca="1">OFFSET(ORÇAMENTO!O$15,ROW(E18)-ROW(E$15),0)</f>
        <v>-</v>
      </c>
      <c r="F18" s="164" t="str">
        <f ca="1">OFFSET(ORÇAMENTO!R$15,ROW(F18)-ROW(F$15),0)</f>
        <v>(abra o arquivo 'Referência 03-2025.xlsm)</v>
      </c>
      <c r="G18" s="165" t="str">
        <f ca="1">IF($D18&lt;&gt;"Serviço","",OFFSET(ORÇAMENTO!S$15,ROW(G18)-ROW(G$15),0))</f>
        <v>-</v>
      </c>
      <c r="H18" s="123">
        <f ca="1">IF($D18&lt;&gt;"Serviço",0,IF(ACOMPANHAMENTO="BM",ROUND(OFFSET(ORÇAMENTO!AJ$15,ROW(H18)-ROW(H$15),0),15-13*ORÇAMENTO!$AF$7),SUMPRODUCT(($Q$1:$AA$1=1)*ROUND($Q18:$AA18,15-13*ORÇAMENTO!$AF$7))))</f>
        <v>6</v>
      </c>
      <c r="I18" s="469"/>
      <c r="J18" s="581" t="str" cm="1">
        <f t="array" aca="1" ref="J18" ca="1">IF(B18&lt;&gt;"S","",IF(AND(ACOMPANHAMENTO="PLE",AUTOEVENTO="Manual",OR(H18&gt;0,ORÇAMENTO!AC18="QUANT."),OR(K18="",M18=0,N18="")),"►",IF(AND(ACOMPANHAMENTO="PLE",ORÇAMENTO!AC18="QUANT."),"►►",IF(AND(COUNTIF($P$11:$AA$11,"▼")=0,H18&gt;0,I18=""),"◄",""))))</f>
        <v>◄</v>
      </c>
      <c r="K18" s="641"/>
      <c r="L18" s="166" t="s">
        <v>768</v>
      </c>
      <c r="M18" s="167">
        <f ca="1">IF($D18&lt;&gt;"Serviço","",
          IF(AUTOEVENTO="manual",$A18,
                IF(ISERROR(MATCH($A18,$A$15:OFFSET($A18,-1,0),0)),MAX($M$15:OFFSET(M18,-1,0))+1,
                      INDEX($M$15:OFFSET(M18,-1,0),MATCH($A18,$A$15:OFFSET($A18,-1,0),0)))))</f>
        <v>1</v>
      </c>
      <c r="N18" s="168" t="str">
        <f ca="1">IF($D18&lt;&gt;"Serviço","",
         IF(AUTOEVENTO="Manual",
                IF($A18=0,"&lt;-- defina o número do agrupador",
                       OFFSET(EVENTOS!$D$15,$A18-$A$15,0)),
                OFFSET($F$15,$A18,0)))</f>
        <v>FUNDAÇÕES</v>
      </c>
      <c r="O18" s="169"/>
      <c r="Q18" s="169"/>
      <c r="R18" s="170"/>
      <c r="S18" s="170"/>
      <c r="T18" s="170"/>
      <c r="U18" s="170"/>
      <c r="V18" s="170"/>
      <c r="W18" s="170"/>
      <c r="X18" s="170"/>
      <c r="Y18" s="170"/>
      <c r="Z18" s="171"/>
      <c r="AB18" s="454">
        <f ca="1">IF(AND($D18="Serviço",AB$12&lt;&gt;0,$H18&gt;0,OR(AUTOEVENTO&lt;&gt;"manual",$M18&lt;&gt;$A$15)),
        IF(Import.TipoArredondamento&lt;&gt;"TransfereGOV",
              ROUND(OFFSET($P18,0,AB$13),15-13*ORÇAMENTO!$AF$7)/$H18*OFFSET(ORÇAMENTO!$X$15,ROW(AB18)-ROW(AB$15),0),
              ROUND(ROUND(OFFSET($P18,0,AB$13),15-13*ORÇAMENTO!$AF$7)*OFFSET(ORÇAMENTO!$W$15,ROW(AB18)-ROW(AB$15),0),15-13*ORÇAMENTO!$AF$11)),
         0)</f>
        <v>0</v>
      </c>
      <c r="AC18" s="454">
        <f ca="1">IF(AND($D18="Serviço",AC$12&lt;&gt;0,$H18&gt;0,OR(AUTOEVENTO&lt;&gt;"manual",$M18&lt;&gt;$A$15)),
        IF(Import.TipoArredondamento&lt;&gt;"TransfereGOV",
              ROUND(OFFSET($P18,0,AC$13),15-13*ORÇAMENTO!$AF$7)/$H18*OFFSET(ORÇAMENTO!$X$15,ROW(AC18)-ROW(AC$15),0),
              ROUND(ROUND(OFFSET($P18,0,AC$13),15-13*ORÇAMENTO!$AF$7)*OFFSET(ORÇAMENTO!$W$15,ROW(AC18)-ROW(AC$15),0),15-13*ORÇAMENTO!$AF$11)),
         0)</f>
        <v>0</v>
      </c>
      <c r="AD18" s="454">
        <f ca="1">IF(AND($D18="Serviço",AD$12&lt;&gt;0,$H18&gt;0,OR(AUTOEVENTO&lt;&gt;"manual",$M18&lt;&gt;$A$15)),
        IF(Import.TipoArredondamento&lt;&gt;"TransfereGOV",
              ROUND(OFFSET($P18,0,AD$13),15-13*ORÇAMENTO!$AF$7)/$H18*OFFSET(ORÇAMENTO!$X$15,ROW(AD18)-ROW(AD$15),0),
              ROUND(ROUND(OFFSET($P18,0,AD$13),15-13*ORÇAMENTO!$AF$7)*OFFSET(ORÇAMENTO!$W$15,ROW(AD18)-ROW(AD$15),0),15-13*ORÇAMENTO!$AF$11)),
         0)</f>
        <v>0</v>
      </c>
      <c r="AE18" s="454">
        <f ca="1">IF(AND($D18="Serviço",AE$12&lt;&gt;0,$H18&gt;0,OR(AUTOEVENTO&lt;&gt;"manual",$M18&lt;&gt;$A$15)),
        IF(Import.TipoArredondamento&lt;&gt;"TransfereGOV",
              ROUND(OFFSET($P18,0,AE$13),15-13*ORÇAMENTO!$AF$7)/$H18*OFFSET(ORÇAMENTO!$X$15,ROW(AE18)-ROW(AE$15),0),
              ROUND(ROUND(OFFSET($P18,0,AE$13),15-13*ORÇAMENTO!$AF$7)*OFFSET(ORÇAMENTO!$W$15,ROW(AE18)-ROW(AE$15),0),15-13*ORÇAMENTO!$AF$11)),
         0)</f>
        <v>0</v>
      </c>
      <c r="AF18" s="454">
        <f ca="1">IF(AND($D18="Serviço",AF$12&lt;&gt;0,$H18&gt;0,OR(AUTOEVENTO&lt;&gt;"manual",$M18&lt;&gt;$A$15)),
        IF(Import.TipoArredondamento&lt;&gt;"TransfereGOV",
              ROUND(OFFSET($P18,0,AF$13),15-13*ORÇAMENTO!$AF$7)/$H18*OFFSET(ORÇAMENTO!$X$15,ROW(AF18)-ROW(AF$15),0),
              ROUND(ROUND(OFFSET($P18,0,AF$13),15-13*ORÇAMENTO!$AF$7)*OFFSET(ORÇAMENTO!$W$15,ROW(AF18)-ROW(AF$15),0),15-13*ORÇAMENTO!$AF$11)),
         0)</f>
        <v>0</v>
      </c>
      <c r="AG18" s="454">
        <f ca="1">IF(AND($D18="Serviço",AG$12&lt;&gt;0,$H18&gt;0,OR(AUTOEVENTO&lt;&gt;"manual",$M18&lt;&gt;$A$15)),
        IF(Import.TipoArredondamento&lt;&gt;"TransfereGOV",
              ROUND(OFFSET($P18,0,AG$13),15-13*ORÇAMENTO!$AF$7)/$H18*OFFSET(ORÇAMENTO!$X$15,ROW(AG18)-ROW(AG$15),0),
              ROUND(ROUND(OFFSET($P18,0,AG$13),15-13*ORÇAMENTO!$AF$7)*OFFSET(ORÇAMENTO!$W$15,ROW(AG18)-ROW(AG$15),0),15-13*ORÇAMENTO!$AF$11)),
         0)</f>
        <v>0</v>
      </c>
      <c r="AH18" s="454">
        <f ca="1">IF(AND($D18="Serviço",AH$12&lt;&gt;0,$H18&gt;0,OR(AUTOEVENTO&lt;&gt;"manual",$M18&lt;&gt;$A$15)),
        IF(Import.TipoArredondamento&lt;&gt;"TransfereGOV",
              ROUND(OFFSET($P18,0,AH$13),15-13*ORÇAMENTO!$AF$7)/$H18*OFFSET(ORÇAMENTO!$X$15,ROW(AH18)-ROW(AH$15),0),
              ROUND(ROUND(OFFSET($P18,0,AH$13),15-13*ORÇAMENTO!$AF$7)*OFFSET(ORÇAMENTO!$W$15,ROW(AH18)-ROW(AH$15),0),15-13*ORÇAMENTO!$AF$11)),
         0)</f>
        <v>0</v>
      </c>
      <c r="AI18" s="454">
        <f ca="1">IF(AND($D18="Serviço",AI$12&lt;&gt;0,$H18&gt;0,OR(AUTOEVENTO&lt;&gt;"manual",$M18&lt;&gt;$A$15)),
        IF(Import.TipoArredondamento&lt;&gt;"TransfereGOV",
              ROUND(OFFSET($P18,0,AI$13),15-13*ORÇAMENTO!$AF$7)/$H18*OFFSET(ORÇAMENTO!$X$15,ROW(AI18)-ROW(AI$15),0),
              ROUND(ROUND(OFFSET($P18,0,AI$13),15-13*ORÇAMENTO!$AF$7)*OFFSET(ORÇAMENTO!$W$15,ROW(AI18)-ROW(AI$15),0),15-13*ORÇAMENTO!$AF$11)),
         0)</f>
        <v>0</v>
      </c>
      <c r="AJ18" s="454">
        <f ca="1">IF(AND($D18="Serviço",AJ$12&lt;&gt;0,$H18&gt;0,OR(AUTOEVENTO&lt;&gt;"manual",$M18&lt;&gt;$A$15)),
        IF(Import.TipoArredondamento&lt;&gt;"TransfereGOV",
              ROUND(OFFSET($P18,0,AJ$13),15-13*ORÇAMENTO!$AF$7)/$H18*OFFSET(ORÇAMENTO!$X$15,ROW(AJ18)-ROW(AJ$15),0),
              ROUND(ROUND(OFFSET($P18,0,AJ$13),15-13*ORÇAMENTO!$AF$7)*OFFSET(ORÇAMENTO!$W$15,ROW(AJ18)-ROW(AJ$15),0),15-13*ORÇAMENTO!$AF$11)),
         0)</f>
        <v>0</v>
      </c>
      <c r="AK18" s="454">
        <f ca="1">IF(AND($D18="Serviço",AK$12&lt;&gt;0,$H18&gt;0,OR(AUTOEVENTO&lt;&gt;"manual",$M18&lt;&gt;$A$15)),
        IF(Import.TipoArredondamento&lt;&gt;"TransfereGOV",
              ROUND(OFFSET($P18,0,AK$13),15-13*ORÇAMENTO!$AF$7)/$H18*OFFSET(ORÇAMENTO!$X$15,ROW(AK18)-ROW(AK$15),0),
              ROUND(ROUND(OFFSET($P18,0,AK$13),15-13*ORÇAMENTO!$AF$7)*OFFSET(ORÇAMENTO!$W$15,ROW(AK18)-ROW(AK$15),0),15-13*ORÇAMENTO!$AF$11)),
         0)</f>
        <v>0</v>
      </c>
      <c r="AM18" s="172">
        <f ca="1">IF(OR($D18&lt;&gt;"Serviço",AND(AUTOEVENTO="Manual",$M18=$A$15)),0,
         IF(OFFSET(CRONOPLE!$F$15,$M18-$A$15,AM$13)="",10^12,OFFSET(CRONOPLE!$F$15,$M18-$A$15,AM$13)))</f>
        <v>1000000000000</v>
      </c>
      <c r="AN18" s="172">
        <f ca="1">IF(OR($D18&lt;&gt;"Serviço",AND(AUTOEVENTO="Manual",$M18=$A$15)),0,
         IF(OFFSET(CRONOPLE!$F$15,$M18-$A$15,AN$13)="",10^12,OFFSET(CRONOPLE!$F$15,$M18-$A$15,AN$13)))</f>
        <v>1000000000000</v>
      </c>
      <c r="AO18" s="172">
        <f ca="1">IF(OR($D18&lt;&gt;"Serviço",AND(AUTOEVENTO="Manual",$M18=$A$15)),0,
         IF(OFFSET(CRONOPLE!$F$15,$M18-$A$15,AO$13)="",10^12,OFFSET(CRONOPLE!$F$15,$M18-$A$15,AO$13)))</f>
        <v>1000000000000</v>
      </c>
      <c r="AP18" s="172">
        <f ca="1">IF(OR($D18&lt;&gt;"Serviço",AND(AUTOEVENTO="Manual",$M18=$A$15)),0,
         IF(OFFSET(CRONOPLE!$F$15,$M18-$A$15,AP$13)="",10^12,OFFSET(CRONOPLE!$F$15,$M18-$A$15,AP$13)))</f>
        <v>1000000000000</v>
      </c>
      <c r="AQ18" s="172">
        <f ca="1">IF(OR($D18&lt;&gt;"Serviço",AND(AUTOEVENTO="Manual",$M18=$A$15)),0,
         IF(OFFSET(CRONOPLE!$F$15,$M18-$A$15,AQ$13)="",10^12,OFFSET(CRONOPLE!$F$15,$M18-$A$15,AQ$13)))</f>
        <v>1000000000000</v>
      </c>
      <c r="AR18" s="172">
        <f ca="1">IF(OR($D18&lt;&gt;"Serviço",AND(AUTOEVENTO="Manual",$M18=$A$15)),0,
         IF(OFFSET(CRONOPLE!$F$15,$M18-$A$15,AR$13)="",10^12,OFFSET(CRONOPLE!$F$15,$M18-$A$15,AR$13)))</f>
        <v>1000000000000</v>
      </c>
      <c r="AS18" s="172">
        <f ca="1">IF(OR($D18&lt;&gt;"Serviço",AND(AUTOEVENTO="Manual",$M18=$A$15)),0,
         IF(OFFSET(CRONOPLE!$F$15,$M18-$A$15,AS$13)="",10^12,OFFSET(CRONOPLE!$F$15,$M18-$A$15,AS$13)))</f>
        <v>1000000000000</v>
      </c>
      <c r="AT18" s="172">
        <f ca="1">IF(OR($D18&lt;&gt;"Serviço",AND(AUTOEVENTO="Manual",$M18=$A$15)),0,
         IF(OFFSET(CRONOPLE!$F$15,$M18-$A$15,AT$13)="",10^12,OFFSET(CRONOPLE!$F$15,$M18-$A$15,AT$13)))</f>
        <v>1000000000000</v>
      </c>
      <c r="AU18" s="172">
        <f ca="1">IF(OR($D18&lt;&gt;"Serviço",AND(AUTOEVENTO="Manual",$M18=$A$15)),0,
         IF(OFFSET(CRONOPLE!$F$15,$M18-$A$15,AU$13)="",10^12,OFFSET(CRONOPLE!$F$15,$M18-$A$15,AU$13)))</f>
        <v>1000000000000</v>
      </c>
      <c r="AV18" s="172">
        <f ca="1">IF(OR($D18&lt;&gt;"Serviço",AND(AUTOEVENTO="Manual",$M18=$A$15)),0,
         IF(OFFSET(CRONOPLE!$F$15,$M18-$A$15,AV$13)="",10^12,OFFSET(CRONOPLE!$F$15,$M18-$A$15,AV$13)))</f>
        <v>1000000000000</v>
      </c>
      <c r="AX18" s="173">
        <f ca="1">IF(OR($D18&lt;&gt;"Serviço",AND(AUTOEVENTO="Manual",$M18=$A$15),$M18&gt;(ROW(PLE.lastrow)-ROW(PLE.firstrow))),0,
           IF(OFFSET(PLE!$G$15,$M18-$A$15,AX$13)="",10^12,OFFSET(PLE!$G$15,$M18-$A$15,AX$13)))</f>
        <v>1000000000000</v>
      </c>
      <c r="AY18" s="173">
        <f ca="1">IF(OR($D18&lt;&gt;"Serviço",AND(AUTOEVENTO="Manual",$M18=$A$15),$M18&gt;(ROW(PLE.lastrow)-ROW(PLE.firstrow))),0,
           IF(OFFSET(PLE!$G$15,$M18-$A$15,AY$13)="",10^12,OFFSET(PLE!$G$15,$M18-$A$15,AY$13)))</f>
        <v>1000000000000</v>
      </c>
      <c r="AZ18" s="173">
        <f ca="1">IF(OR($D18&lt;&gt;"Serviço",AND(AUTOEVENTO="Manual",$M18=$A$15),$M18&gt;(ROW(PLE.lastrow)-ROW(PLE.firstrow))),0,
           IF(OFFSET(PLE!$G$15,$M18-$A$15,AZ$13)="",10^12,OFFSET(PLE!$G$15,$M18-$A$15,AZ$13)))</f>
        <v>1000000000000</v>
      </c>
      <c r="BA18" s="173">
        <f ca="1">IF(OR($D18&lt;&gt;"Serviço",AND(AUTOEVENTO="Manual",$M18=$A$15),$M18&gt;(ROW(PLE.lastrow)-ROW(PLE.firstrow))),0,
           IF(OFFSET(PLE!$G$15,$M18-$A$15,BA$13)="",10^12,OFFSET(PLE!$G$15,$M18-$A$15,BA$13)))</f>
        <v>1000000000000</v>
      </c>
      <c r="BB18" s="173">
        <f ca="1">IF(OR($D18&lt;&gt;"Serviço",AND(AUTOEVENTO="Manual",$M18=$A$15),$M18&gt;(ROW(PLE.lastrow)-ROW(PLE.firstrow))),0,
           IF(OFFSET(PLE!$G$15,$M18-$A$15,BB$13)="",10^12,OFFSET(PLE!$G$15,$M18-$A$15,BB$13)))</f>
        <v>1000000000000</v>
      </c>
      <c r="BC18" s="173">
        <f ca="1">IF(OR($D18&lt;&gt;"Serviço",AND(AUTOEVENTO="Manual",$M18=$A$15),$M18&gt;(ROW(PLE.lastrow)-ROW(PLE.firstrow))),0,
           IF(OFFSET(PLE!$G$15,$M18-$A$15,BC$13)="",10^12,OFFSET(PLE!$G$15,$M18-$A$15,BC$13)))</f>
        <v>1000000000000</v>
      </c>
      <c r="BD18" s="173">
        <f ca="1">IF(OR($D18&lt;&gt;"Serviço",AND(AUTOEVENTO="Manual",$M18=$A$15),$M18&gt;(ROW(PLE.lastrow)-ROW(PLE.firstrow))),0,
           IF(OFFSET(PLE!$G$15,$M18-$A$15,BD$13)="",10^12,OFFSET(PLE!$G$15,$M18-$A$15,BD$13)))</f>
        <v>1000000000000</v>
      </c>
      <c r="BE18" s="173">
        <f ca="1">IF(OR($D18&lt;&gt;"Serviço",AND(AUTOEVENTO="Manual",$M18=$A$15),$M18&gt;(ROW(PLE.lastrow)-ROW(PLE.firstrow))),0,
           IF(OFFSET(PLE!$G$15,$M18-$A$15,BE$13)="",10^12,OFFSET(PLE!$G$15,$M18-$A$15,BE$13)))</f>
        <v>1000000000000</v>
      </c>
      <c r="BF18" s="173">
        <f ca="1">IF(OR($D18&lt;&gt;"Serviço",AND(AUTOEVENTO="Manual",$M18=$A$15),$M18&gt;(ROW(PLE.lastrow)-ROW(PLE.firstrow))),0,
           IF(OFFSET(PLE!$G$15,$M18-$A$15,BF$13)="",10^12,OFFSET(PLE!$G$15,$M18-$A$15,BF$13)))</f>
        <v>1000000000000</v>
      </c>
      <c r="BG18" s="173">
        <f ca="1">IF(OR($D18&lt;&gt;"Serviço",AND(AUTOEVENTO="Manual",$M18=$A$15),$M18&gt;(ROW(PLE.lastrow)-ROW(PLE.firstrow))),0,
           IF(OFFSET(PLE!$G$15,$M18-$A$15,BG$13)="",10^12,OFFSET(PLE!$G$15,$M18-$A$15,BG$13)))</f>
        <v>1000000000000</v>
      </c>
    </row>
    <row r="19" spans="1:59" s="662" customFormat="1" ht="25.5" x14ac:dyDescent="0.2">
      <c r="A19" s="660" t="str">
        <f ca="1">IF(AUTOEVENTO="Manual",IF(K19&lt;&gt;"",MIN(VALUE(LEFT(K19,FIND(".",K19)-1)),COUNTA(EVENTOS.Lista)),0),IF(OR($B19&gt;AUTOEVENTO,$B19="S",$B19=0),SUBSTITUTE(OFFSET($A19,-1,0),IF($D19="Serviço",".",""),""),ROW(A19)-ROW($A$15)&amp;"."))</f>
        <v>2</v>
      </c>
      <c r="B19" s="660" t="str">
        <f ca="1">OFFSET(ORÇAMENTO!C$15,ROW(B19)-ROW(B$15),0)</f>
        <v>S</v>
      </c>
      <c r="C19" s="660" t="str">
        <f ca="1">OFFSET(ORÇAMENTO!L$15,ROW(C19)-ROW(C$15),0)</f>
        <v/>
      </c>
      <c r="D19" s="117" t="str">
        <f ca="1">OFFSET(ORÇAMENTO!N$15,ROW(D19)-ROW(D$15),0)</f>
        <v>Serviço</v>
      </c>
      <c r="E19" s="118" t="str">
        <f ca="1">OFFSET(ORÇAMENTO!O$15,ROW(E19)-ROW(E$15),0)</f>
        <v>-</v>
      </c>
      <c r="F19" s="164" t="str">
        <f ca="1">OFFSET(ORÇAMENTO!R$15,ROW(F19)-ROW(F$15),0)</f>
        <v>(abra o arquivo 'Referência 03-2025.xlsm)</v>
      </c>
      <c r="G19" s="165" t="str">
        <f ca="1">IF($D19&lt;&gt;"Serviço","",OFFSET(ORÇAMENTO!S$15,ROW(G19)-ROW(G$15),0))</f>
        <v>-</v>
      </c>
      <c r="H19" s="123">
        <f ca="1">IF($D19&lt;&gt;"Serviço",0,IF(ACOMPANHAMENTO="BM",ROUND(OFFSET(ORÇAMENTO!AJ$15,ROW(H19)-ROW(H$15),0),15-13*ORÇAMENTO!$AF$7),SUMPRODUCT(($Q$1:$AA$1=1)*ROUND($Q19:$AA19,15-13*ORÇAMENTO!$AF$7))))</f>
        <v>3.84</v>
      </c>
      <c r="I19" s="469"/>
      <c r="J19" s="581" t="str" cm="1">
        <f t="array" aca="1" ref="J19" ca="1">IF(B19&lt;&gt;"S","",IF(AND(ACOMPANHAMENTO="PLE",AUTOEVENTO="Manual",OR(H19&gt;0,ORÇAMENTO!AC19="QUANT."),OR(K19="",M19=0,N19="")),"►",IF(AND(ACOMPANHAMENTO="PLE",ORÇAMENTO!AC19="QUANT."),"►►",IF(AND(COUNTIF($P$11:$AA$11,"▼")=0,H19&gt;0,I19=""),"◄",""))))</f>
        <v>◄</v>
      </c>
      <c r="K19" s="641"/>
      <c r="L19" s="166" t="s">
        <v>768</v>
      </c>
      <c r="M19" s="167">
        <f ca="1">IF($D19&lt;&gt;"Serviço","",
          IF(AUTOEVENTO="manual",$A19,
                IF(ISERROR(MATCH($A19,$A$15:OFFSET($A19,-1,0),0)),MAX($M$15:OFFSET(M19,-1,0))+1,
                      INDEX($M$15:OFFSET(M19,-1,0),MATCH($A19,$A$15:OFFSET($A19,-1,0),0)))))</f>
        <v>1</v>
      </c>
      <c r="N19" s="168" t="str">
        <f ca="1">IF($D19&lt;&gt;"Serviço","",
         IF(AUTOEVENTO="Manual",
                IF($A19=0,"&lt;-- defina o número do agrupador",
                       OFFSET(EVENTOS!$D$15,$A19-$A$15,0)),
                OFFSET($F$15,$A19,0)))</f>
        <v>FUNDAÇÕES</v>
      </c>
      <c r="O19" s="169"/>
      <c r="Q19" s="169"/>
      <c r="R19" s="170"/>
      <c r="S19" s="170"/>
      <c r="T19" s="170"/>
      <c r="U19" s="170"/>
      <c r="V19" s="170"/>
      <c r="W19" s="170"/>
      <c r="X19" s="170"/>
      <c r="Y19" s="170"/>
      <c r="Z19" s="171"/>
      <c r="AB19" s="454">
        <f ca="1">IF(AND($D19="Serviço",AB$12&lt;&gt;0,$H19&gt;0,OR(AUTOEVENTO&lt;&gt;"manual",$M19&lt;&gt;$A$15)),
        IF(Import.TipoArredondamento&lt;&gt;"TransfereGOV",
              ROUND(OFFSET($P19,0,AB$13),15-13*ORÇAMENTO!$AF$7)/$H19*OFFSET(ORÇAMENTO!$X$15,ROW(AB19)-ROW(AB$15),0),
              ROUND(ROUND(OFFSET($P19,0,AB$13),15-13*ORÇAMENTO!$AF$7)*OFFSET(ORÇAMENTO!$W$15,ROW(AB19)-ROW(AB$15),0),15-13*ORÇAMENTO!$AF$11)),
         0)</f>
        <v>0</v>
      </c>
      <c r="AC19" s="454">
        <f ca="1">IF(AND($D19="Serviço",AC$12&lt;&gt;0,$H19&gt;0,OR(AUTOEVENTO&lt;&gt;"manual",$M19&lt;&gt;$A$15)),
        IF(Import.TipoArredondamento&lt;&gt;"TransfereGOV",
              ROUND(OFFSET($P19,0,AC$13),15-13*ORÇAMENTO!$AF$7)/$H19*OFFSET(ORÇAMENTO!$X$15,ROW(AC19)-ROW(AC$15),0),
              ROUND(ROUND(OFFSET($P19,0,AC$13),15-13*ORÇAMENTO!$AF$7)*OFFSET(ORÇAMENTO!$W$15,ROW(AC19)-ROW(AC$15),0),15-13*ORÇAMENTO!$AF$11)),
         0)</f>
        <v>0</v>
      </c>
      <c r="AD19" s="454">
        <f ca="1">IF(AND($D19="Serviço",AD$12&lt;&gt;0,$H19&gt;0,OR(AUTOEVENTO&lt;&gt;"manual",$M19&lt;&gt;$A$15)),
        IF(Import.TipoArredondamento&lt;&gt;"TransfereGOV",
              ROUND(OFFSET($P19,0,AD$13),15-13*ORÇAMENTO!$AF$7)/$H19*OFFSET(ORÇAMENTO!$X$15,ROW(AD19)-ROW(AD$15),0),
              ROUND(ROUND(OFFSET($P19,0,AD$13),15-13*ORÇAMENTO!$AF$7)*OFFSET(ORÇAMENTO!$W$15,ROW(AD19)-ROW(AD$15),0),15-13*ORÇAMENTO!$AF$11)),
         0)</f>
        <v>0</v>
      </c>
      <c r="AE19" s="454">
        <f ca="1">IF(AND($D19="Serviço",AE$12&lt;&gt;0,$H19&gt;0,OR(AUTOEVENTO&lt;&gt;"manual",$M19&lt;&gt;$A$15)),
        IF(Import.TipoArredondamento&lt;&gt;"TransfereGOV",
              ROUND(OFFSET($P19,0,AE$13),15-13*ORÇAMENTO!$AF$7)/$H19*OFFSET(ORÇAMENTO!$X$15,ROW(AE19)-ROW(AE$15),0),
              ROUND(ROUND(OFFSET($P19,0,AE$13),15-13*ORÇAMENTO!$AF$7)*OFFSET(ORÇAMENTO!$W$15,ROW(AE19)-ROW(AE$15),0),15-13*ORÇAMENTO!$AF$11)),
         0)</f>
        <v>0</v>
      </c>
      <c r="AF19" s="454">
        <f ca="1">IF(AND($D19="Serviço",AF$12&lt;&gt;0,$H19&gt;0,OR(AUTOEVENTO&lt;&gt;"manual",$M19&lt;&gt;$A$15)),
        IF(Import.TipoArredondamento&lt;&gt;"TransfereGOV",
              ROUND(OFFSET($P19,0,AF$13),15-13*ORÇAMENTO!$AF$7)/$H19*OFFSET(ORÇAMENTO!$X$15,ROW(AF19)-ROW(AF$15),0),
              ROUND(ROUND(OFFSET($P19,0,AF$13),15-13*ORÇAMENTO!$AF$7)*OFFSET(ORÇAMENTO!$W$15,ROW(AF19)-ROW(AF$15),0),15-13*ORÇAMENTO!$AF$11)),
         0)</f>
        <v>0</v>
      </c>
      <c r="AG19" s="454">
        <f ca="1">IF(AND($D19="Serviço",AG$12&lt;&gt;0,$H19&gt;0,OR(AUTOEVENTO&lt;&gt;"manual",$M19&lt;&gt;$A$15)),
        IF(Import.TipoArredondamento&lt;&gt;"TransfereGOV",
              ROUND(OFFSET($P19,0,AG$13),15-13*ORÇAMENTO!$AF$7)/$H19*OFFSET(ORÇAMENTO!$X$15,ROW(AG19)-ROW(AG$15),0),
              ROUND(ROUND(OFFSET($P19,0,AG$13),15-13*ORÇAMENTO!$AF$7)*OFFSET(ORÇAMENTO!$W$15,ROW(AG19)-ROW(AG$15),0),15-13*ORÇAMENTO!$AF$11)),
         0)</f>
        <v>0</v>
      </c>
      <c r="AH19" s="454">
        <f ca="1">IF(AND($D19="Serviço",AH$12&lt;&gt;0,$H19&gt;0,OR(AUTOEVENTO&lt;&gt;"manual",$M19&lt;&gt;$A$15)),
        IF(Import.TipoArredondamento&lt;&gt;"TransfereGOV",
              ROUND(OFFSET($P19,0,AH$13),15-13*ORÇAMENTO!$AF$7)/$H19*OFFSET(ORÇAMENTO!$X$15,ROW(AH19)-ROW(AH$15),0),
              ROUND(ROUND(OFFSET($P19,0,AH$13),15-13*ORÇAMENTO!$AF$7)*OFFSET(ORÇAMENTO!$W$15,ROW(AH19)-ROW(AH$15),0),15-13*ORÇAMENTO!$AF$11)),
         0)</f>
        <v>0</v>
      </c>
      <c r="AI19" s="454">
        <f ca="1">IF(AND($D19="Serviço",AI$12&lt;&gt;0,$H19&gt;0,OR(AUTOEVENTO&lt;&gt;"manual",$M19&lt;&gt;$A$15)),
        IF(Import.TipoArredondamento&lt;&gt;"TransfereGOV",
              ROUND(OFFSET($P19,0,AI$13),15-13*ORÇAMENTO!$AF$7)/$H19*OFFSET(ORÇAMENTO!$X$15,ROW(AI19)-ROW(AI$15),0),
              ROUND(ROUND(OFFSET($P19,0,AI$13),15-13*ORÇAMENTO!$AF$7)*OFFSET(ORÇAMENTO!$W$15,ROW(AI19)-ROW(AI$15),0),15-13*ORÇAMENTO!$AF$11)),
         0)</f>
        <v>0</v>
      </c>
      <c r="AJ19" s="454">
        <f ca="1">IF(AND($D19="Serviço",AJ$12&lt;&gt;0,$H19&gt;0,OR(AUTOEVENTO&lt;&gt;"manual",$M19&lt;&gt;$A$15)),
        IF(Import.TipoArredondamento&lt;&gt;"TransfereGOV",
              ROUND(OFFSET($P19,0,AJ$13),15-13*ORÇAMENTO!$AF$7)/$H19*OFFSET(ORÇAMENTO!$X$15,ROW(AJ19)-ROW(AJ$15),0),
              ROUND(ROUND(OFFSET($P19,0,AJ$13),15-13*ORÇAMENTO!$AF$7)*OFFSET(ORÇAMENTO!$W$15,ROW(AJ19)-ROW(AJ$15),0),15-13*ORÇAMENTO!$AF$11)),
         0)</f>
        <v>0</v>
      </c>
      <c r="AK19" s="454">
        <f ca="1">IF(AND($D19="Serviço",AK$12&lt;&gt;0,$H19&gt;0,OR(AUTOEVENTO&lt;&gt;"manual",$M19&lt;&gt;$A$15)),
        IF(Import.TipoArredondamento&lt;&gt;"TransfereGOV",
              ROUND(OFFSET($P19,0,AK$13),15-13*ORÇAMENTO!$AF$7)/$H19*OFFSET(ORÇAMENTO!$X$15,ROW(AK19)-ROW(AK$15),0),
              ROUND(ROUND(OFFSET($P19,0,AK$13),15-13*ORÇAMENTO!$AF$7)*OFFSET(ORÇAMENTO!$W$15,ROW(AK19)-ROW(AK$15),0),15-13*ORÇAMENTO!$AF$11)),
         0)</f>
        <v>0</v>
      </c>
      <c r="AM19" s="172">
        <f ca="1">IF(OR($D19&lt;&gt;"Serviço",AND(AUTOEVENTO="Manual",$M19=$A$15)),0,
         IF(OFFSET(CRONOPLE!$F$15,$M19-$A$15,AM$13)="",10^12,OFFSET(CRONOPLE!$F$15,$M19-$A$15,AM$13)))</f>
        <v>1000000000000</v>
      </c>
      <c r="AN19" s="172">
        <f ca="1">IF(OR($D19&lt;&gt;"Serviço",AND(AUTOEVENTO="Manual",$M19=$A$15)),0,
         IF(OFFSET(CRONOPLE!$F$15,$M19-$A$15,AN$13)="",10^12,OFFSET(CRONOPLE!$F$15,$M19-$A$15,AN$13)))</f>
        <v>1000000000000</v>
      </c>
      <c r="AO19" s="172">
        <f ca="1">IF(OR($D19&lt;&gt;"Serviço",AND(AUTOEVENTO="Manual",$M19=$A$15)),0,
         IF(OFFSET(CRONOPLE!$F$15,$M19-$A$15,AO$13)="",10^12,OFFSET(CRONOPLE!$F$15,$M19-$A$15,AO$13)))</f>
        <v>1000000000000</v>
      </c>
      <c r="AP19" s="172">
        <f ca="1">IF(OR($D19&lt;&gt;"Serviço",AND(AUTOEVENTO="Manual",$M19=$A$15)),0,
         IF(OFFSET(CRONOPLE!$F$15,$M19-$A$15,AP$13)="",10^12,OFFSET(CRONOPLE!$F$15,$M19-$A$15,AP$13)))</f>
        <v>1000000000000</v>
      </c>
      <c r="AQ19" s="172">
        <f ca="1">IF(OR($D19&lt;&gt;"Serviço",AND(AUTOEVENTO="Manual",$M19=$A$15)),0,
         IF(OFFSET(CRONOPLE!$F$15,$M19-$A$15,AQ$13)="",10^12,OFFSET(CRONOPLE!$F$15,$M19-$A$15,AQ$13)))</f>
        <v>1000000000000</v>
      </c>
      <c r="AR19" s="172">
        <f ca="1">IF(OR($D19&lt;&gt;"Serviço",AND(AUTOEVENTO="Manual",$M19=$A$15)),0,
         IF(OFFSET(CRONOPLE!$F$15,$M19-$A$15,AR$13)="",10^12,OFFSET(CRONOPLE!$F$15,$M19-$A$15,AR$13)))</f>
        <v>1000000000000</v>
      </c>
      <c r="AS19" s="172">
        <f ca="1">IF(OR($D19&lt;&gt;"Serviço",AND(AUTOEVENTO="Manual",$M19=$A$15)),0,
         IF(OFFSET(CRONOPLE!$F$15,$M19-$A$15,AS$13)="",10^12,OFFSET(CRONOPLE!$F$15,$M19-$A$15,AS$13)))</f>
        <v>1000000000000</v>
      </c>
      <c r="AT19" s="172">
        <f ca="1">IF(OR($D19&lt;&gt;"Serviço",AND(AUTOEVENTO="Manual",$M19=$A$15)),0,
         IF(OFFSET(CRONOPLE!$F$15,$M19-$A$15,AT$13)="",10^12,OFFSET(CRONOPLE!$F$15,$M19-$A$15,AT$13)))</f>
        <v>1000000000000</v>
      </c>
      <c r="AU19" s="172">
        <f ca="1">IF(OR($D19&lt;&gt;"Serviço",AND(AUTOEVENTO="Manual",$M19=$A$15)),0,
         IF(OFFSET(CRONOPLE!$F$15,$M19-$A$15,AU$13)="",10^12,OFFSET(CRONOPLE!$F$15,$M19-$A$15,AU$13)))</f>
        <v>1000000000000</v>
      </c>
      <c r="AV19" s="172">
        <f ca="1">IF(OR($D19&lt;&gt;"Serviço",AND(AUTOEVENTO="Manual",$M19=$A$15)),0,
         IF(OFFSET(CRONOPLE!$F$15,$M19-$A$15,AV$13)="",10^12,OFFSET(CRONOPLE!$F$15,$M19-$A$15,AV$13)))</f>
        <v>1000000000000</v>
      </c>
      <c r="AX19" s="173">
        <f ca="1">IF(OR($D19&lt;&gt;"Serviço",AND(AUTOEVENTO="Manual",$M19=$A$15),$M19&gt;(ROW(PLE.lastrow)-ROW(PLE.firstrow))),0,
           IF(OFFSET(PLE!$G$15,$M19-$A$15,AX$13)="",10^12,OFFSET(PLE!$G$15,$M19-$A$15,AX$13)))</f>
        <v>1000000000000</v>
      </c>
      <c r="AY19" s="173">
        <f ca="1">IF(OR($D19&lt;&gt;"Serviço",AND(AUTOEVENTO="Manual",$M19=$A$15),$M19&gt;(ROW(PLE.lastrow)-ROW(PLE.firstrow))),0,
           IF(OFFSET(PLE!$G$15,$M19-$A$15,AY$13)="",10^12,OFFSET(PLE!$G$15,$M19-$A$15,AY$13)))</f>
        <v>1000000000000</v>
      </c>
      <c r="AZ19" s="173">
        <f ca="1">IF(OR($D19&lt;&gt;"Serviço",AND(AUTOEVENTO="Manual",$M19=$A$15),$M19&gt;(ROW(PLE.lastrow)-ROW(PLE.firstrow))),0,
           IF(OFFSET(PLE!$G$15,$M19-$A$15,AZ$13)="",10^12,OFFSET(PLE!$G$15,$M19-$A$15,AZ$13)))</f>
        <v>1000000000000</v>
      </c>
      <c r="BA19" s="173">
        <f ca="1">IF(OR($D19&lt;&gt;"Serviço",AND(AUTOEVENTO="Manual",$M19=$A$15),$M19&gt;(ROW(PLE.lastrow)-ROW(PLE.firstrow))),0,
           IF(OFFSET(PLE!$G$15,$M19-$A$15,BA$13)="",10^12,OFFSET(PLE!$G$15,$M19-$A$15,BA$13)))</f>
        <v>1000000000000</v>
      </c>
      <c r="BB19" s="173">
        <f ca="1">IF(OR($D19&lt;&gt;"Serviço",AND(AUTOEVENTO="Manual",$M19=$A$15),$M19&gt;(ROW(PLE.lastrow)-ROW(PLE.firstrow))),0,
           IF(OFFSET(PLE!$G$15,$M19-$A$15,BB$13)="",10^12,OFFSET(PLE!$G$15,$M19-$A$15,BB$13)))</f>
        <v>1000000000000</v>
      </c>
      <c r="BC19" s="173">
        <f ca="1">IF(OR($D19&lt;&gt;"Serviço",AND(AUTOEVENTO="Manual",$M19=$A$15),$M19&gt;(ROW(PLE.lastrow)-ROW(PLE.firstrow))),0,
           IF(OFFSET(PLE!$G$15,$M19-$A$15,BC$13)="",10^12,OFFSET(PLE!$G$15,$M19-$A$15,BC$13)))</f>
        <v>1000000000000</v>
      </c>
      <c r="BD19" s="173">
        <f ca="1">IF(OR($D19&lt;&gt;"Serviço",AND(AUTOEVENTO="Manual",$M19=$A$15),$M19&gt;(ROW(PLE.lastrow)-ROW(PLE.firstrow))),0,
           IF(OFFSET(PLE!$G$15,$M19-$A$15,BD$13)="",10^12,OFFSET(PLE!$G$15,$M19-$A$15,BD$13)))</f>
        <v>1000000000000</v>
      </c>
      <c r="BE19" s="173">
        <f ca="1">IF(OR($D19&lt;&gt;"Serviço",AND(AUTOEVENTO="Manual",$M19=$A$15),$M19&gt;(ROW(PLE.lastrow)-ROW(PLE.firstrow))),0,
           IF(OFFSET(PLE!$G$15,$M19-$A$15,BE$13)="",10^12,OFFSET(PLE!$G$15,$M19-$A$15,BE$13)))</f>
        <v>1000000000000</v>
      </c>
      <c r="BF19" s="173">
        <f ca="1">IF(OR($D19&lt;&gt;"Serviço",AND(AUTOEVENTO="Manual",$M19=$A$15),$M19&gt;(ROW(PLE.lastrow)-ROW(PLE.firstrow))),0,
           IF(OFFSET(PLE!$G$15,$M19-$A$15,BF$13)="",10^12,OFFSET(PLE!$G$15,$M19-$A$15,BF$13)))</f>
        <v>1000000000000</v>
      </c>
      <c r="BG19" s="173">
        <f ca="1">IF(OR($D19&lt;&gt;"Serviço",AND(AUTOEVENTO="Manual",$M19=$A$15),$M19&gt;(ROW(PLE.lastrow)-ROW(PLE.firstrow))),0,
           IF(OFFSET(PLE!$G$15,$M19-$A$15,BG$13)="",10^12,OFFSET(PLE!$G$15,$M19-$A$15,BG$13)))</f>
        <v>1000000000000</v>
      </c>
    </row>
    <row r="20" spans="1:59" s="662" customFormat="1" ht="12.75" x14ac:dyDescent="0.2">
      <c r="A20" s="660" t="str">
        <f t="shared" ca="1" si="8"/>
        <v>2</v>
      </c>
      <c r="B20" s="660" t="str">
        <f ca="1">OFFSET(ORÇAMENTO!C$15,ROW(B20)-ROW(B$15),0)</f>
        <v>S</v>
      </c>
      <c r="C20" s="660" t="str">
        <f ca="1">OFFSET(ORÇAMENTO!L$15,ROW(C20)-ROW(C$15),0)</f>
        <v/>
      </c>
      <c r="D20" s="117" t="str">
        <f ca="1">OFFSET(ORÇAMENTO!N$15,ROW(D20)-ROW(D$15),0)</f>
        <v>Serviço</v>
      </c>
      <c r="E20" s="118" t="str">
        <f ca="1">OFFSET(ORÇAMENTO!O$15,ROW(E20)-ROW(E$15),0)</f>
        <v>-</v>
      </c>
      <c r="F20" s="164" t="str">
        <f ca="1">OFFSET(ORÇAMENTO!R$15,ROW(F20)-ROW(F$15),0)</f>
        <v>(abra o arquivo 'Referência 03-2025.xlsm)</v>
      </c>
      <c r="G20" s="165" t="str">
        <f ca="1">IF($D20&lt;&gt;"Serviço","",OFFSET(ORÇAMENTO!S$15,ROW(G20)-ROW(G$15),0))</f>
        <v>-</v>
      </c>
      <c r="H20" s="123">
        <f ca="1">IF($D20&lt;&gt;"Serviço",0,IF(ACOMPANHAMENTO="BM",ROUND(OFFSET(ORÇAMENTO!AJ$15,ROW(H20)-ROW(H$15),0),15-13*ORÇAMENTO!$AF$7),SUMPRODUCT(($Q$1:$AA$1=1)*ROUND($Q20:$AA20,15-13*ORÇAMENTO!$AF$7))))</f>
        <v>6</v>
      </c>
      <c r="I20" s="469"/>
      <c r="J20" s="581" t="str" cm="1">
        <f t="array" aca="1" ref="J20" ca="1">IF(B20&lt;&gt;"S","",IF(AND(ACOMPANHAMENTO="PLE",AUTOEVENTO="Manual",OR(H20&gt;0,ORÇAMENTO!AC20="QUANT."),OR(K20="",M20=0,N20="")),"►",IF(AND(ACOMPANHAMENTO="PLE",ORÇAMENTO!AC20="QUANT."),"►►",IF(AND(COUNTIF($P$11:$AA$11,"▼")=0,H20&gt;0,I20=""),"◄",""))))</f>
        <v>◄</v>
      </c>
      <c r="K20" s="641"/>
      <c r="L20" s="166" t="s">
        <v>768</v>
      </c>
      <c r="M20" s="167">
        <f ca="1">IF($D20&lt;&gt;"Serviço","",
          IF(AUTOEVENTO="manual",$A20,
                IF(ISERROR(MATCH($A20,$A$15:OFFSET($A20,-1,0),0)),MAX($M$15:OFFSET(M20,-1,0))+1,
                      INDEX($M$15:OFFSET(M20,-1,0),MATCH($A20,$A$15:OFFSET($A20,-1,0),0)))))</f>
        <v>1</v>
      </c>
      <c r="N20" s="168" t="str">
        <f ca="1">IF($D20&lt;&gt;"Serviço","",
         IF(AUTOEVENTO="Manual",
                IF($A20=0,"&lt;-- defina o número do agrupador",
                       OFFSET(EVENTOS!$D$15,$A20-$A$15,0)),
                OFFSET($F$15,$A20,0)))</f>
        <v>FUNDAÇÕES</v>
      </c>
      <c r="O20" s="169"/>
      <c r="Q20" s="169"/>
      <c r="R20" s="170"/>
      <c r="S20" s="170"/>
      <c r="T20" s="170"/>
      <c r="U20" s="170"/>
      <c r="V20" s="170"/>
      <c r="W20" s="170"/>
      <c r="X20" s="170"/>
      <c r="Y20" s="170"/>
      <c r="Z20" s="171"/>
      <c r="AB20" s="454">
        <f ca="1">IF(AND($D20="Serviço",AB$12&lt;&gt;0,$H20&gt;0,OR(AUTOEVENTO&lt;&gt;"manual",$M20&lt;&gt;$A$15)),
        IF(Import.TipoArredondamento&lt;&gt;"TransfereGOV",
              ROUND(OFFSET($P20,0,AB$13),15-13*ORÇAMENTO!$AF$7)/$H20*OFFSET(ORÇAMENTO!$X$15,ROW(AB20)-ROW(AB$15),0),
              ROUND(ROUND(OFFSET($P20,0,AB$13),15-13*ORÇAMENTO!$AF$7)*OFFSET(ORÇAMENTO!$W$15,ROW(AB20)-ROW(AB$15),0),15-13*ORÇAMENTO!$AF$11)),
         0)</f>
        <v>0</v>
      </c>
      <c r="AC20" s="454">
        <f ca="1">IF(AND($D20="Serviço",AC$12&lt;&gt;0,$H20&gt;0,OR(AUTOEVENTO&lt;&gt;"manual",$M20&lt;&gt;$A$15)),
        IF(Import.TipoArredondamento&lt;&gt;"TransfereGOV",
              ROUND(OFFSET($P20,0,AC$13),15-13*ORÇAMENTO!$AF$7)/$H20*OFFSET(ORÇAMENTO!$X$15,ROW(AC20)-ROW(AC$15),0),
              ROUND(ROUND(OFFSET($P20,0,AC$13),15-13*ORÇAMENTO!$AF$7)*OFFSET(ORÇAMENTO!$W$15,ROW(AC20)-ROW(AC$15),0),15-13*ORÇAMENTO!$AF$11)),
         0)</f>
        <v>0</v>
      </c>
      <c r="AD20" s="454">
        <f ca="1">IF(AND($D20="Serviço",AD$12&lt;&gt;0,$H20&gt;0,OR(AUTOEVENTO&lt;&gt;"manual",$M20&lt;&gt;$A$15)),
        IF(Import.TipoArredondamento&lt;&gt;"TransfereGOV",
              ROUND(OFFSET($P20,0,AD$13),15-13*ORÇAMENTO!$AF$7)/$H20*OFFSET(ORÇAMENTO!$X$15,ROW(AD20)-ROW(AD$15),0),
              ROUND(ROUND(OFFSET($P20,0,AD$13),15-13*ORÇAMENTO!$AF$7)*OFFSET(ORÇAMENTO!$W$15,ROW(AD20)-ROW(AD$15),0),15-13*ORÇAMENTO!$AF$11)),
         0)</f>
        <v>0</v>
      </c>
      <c r="AE20" s="454">
        <f ca="1">IF(AND($D20="Serviço",AE$12&lt;&gt;0,$H20&gt;0,OR(AUTOEVENTO&lt;&gt;"manual",$M20&lt;&gt;$A$15)),
        IF(Import.TipoArredondamento&lt;&gt;"TransfereGOV",
              ROUND(OFFSET($P20,0,AE$13),15-13*ORÇAMENTO!$AF$7)/$H20*OFFSET(ORÇAMENTO!$X$15,ROW(AE20)-ROW(AE$15),0),
              ROUND(ROUND(OFFSET($P20,0,AE$13),15-13*ORÇAMENTO!$AF$7)*OFFSET(ORÇAMENTO!$W$15,ROW(AE20)-ROW(AE$15),0),15-13*ORÇAMENTO!$AF$11)),
         0)</f>
        <v>0</v>
      </c>
      <c r="AF20" s="454">
        <f ca="1">IF(AND($D20="Serviço",AF$12&lt;&gt;0,$H20&gt;0,OR(AUTOEVENTO&lt;&gt;"manual",$M20&lt;&gt;$A$15)),
        IF(Import.TipoArredondamento&lt;&gt;"TransfereGOV",
              ROUND(OFFSET($P20,0,AF$13),15-13*ORÇAMENTO!$AF$7)/$H20*OFFSET(ORÇAMENTO!$X$15,ROW(AF20)-ROW(AF$15),0),
              ROUND(ROUND(OFFSET($P20,0,AF$13),15-13*ORÇAMENTO!$AF$7)*OFFSET(ORÇAMENTO!$W$15,ROW(AF20)-ROW(AF$15),0),15-13*ORÇAMENTO!$AF$11)),
         0)</f>
        <v>0</v>
      </c>
      <c r="AG20" s="454">
        <f ca="1">IF(AND($D20="Serviço",AG$12&lt;&gt;0,$H20&gt;0,OR(AUTOEVENTO&lt;&gt;"manual",$M20&lt;&gt;$A$15)),
        IF(Import.TipoArredondamento&lt;&gt;"TransfereGOV",
              ROUND(OFFSET($P20,0,AG$13),15-13*ORÇAMENTO!$AF$7)/$H20*OFFSET(ORÇAMENTO!$X$15,ROW(AG20)-ROW(AG$15),0),
              ROUND(ROUND(OFFSET($P20,0,AG$13),15-13*ORÇAMENTO!$AF$7)*OFFSET(ORÇAMENTO!$W$15,ROW(AG20)-ROW(AG$15),0),15-13*ORÇAMENTO!$AF$11)),
         0)</f>
        <v>0</v>
      </c>
      <c r="AH20" s="454">
        <f ca="1">IF(AND($D20="Serviço",AH$12&lt;&gt;0,$H20&gt;0,OR(AUTOEVENTO&lt;&gt;"manual",$M20&lt;&gt;$A$15)),
        IF(Import.TipoArredondamento&lt;&gt;"TransfereGOV",
              ROUND(OFFSET($P20,0,AH$13),15-13*ORÇAMENTO!$AF$7)/$H20*OFFSET(ORÇAMENTO!$X$15,ROW(AH20)-ROW(AH$15),0),
              ROUND(ROUND(OFFSET($P20,0,AH$13),15-13*ORÇAMENTO!$AF$7)*OFFSET(ORÇAMENTO!$W$15,ROW(AH20)-ROW(AH$15),0),15-13*ORÇAMENTO!$AF$11)),
         0)</f>
        <v>0</v>
      </c>
      <c r="AI20" s="454">
        <f ca="1">IF(AND($D20="Serviço",AI$12&lt;&gt;0,$H20&gt;0,OR(AUTOEVENTO&lt;&gt;"manual",$M20&lt;&gt;$A$15)),
        IF(Import.TipoArredondamento&lt;&gt;"TransfereGOV",
              ROUND(OFFSET($P20,0,AI$13),15-13*ORÇAMENTO!$AF$7)/$H20*OFFSET(ORÇAMENTO!$X$15,ROW(AI20)-ROW(AI$15),0),
              ROUND(ROUND(OFFSET($P20,0,AI$13),15-13*ORÇAMENTO!$AF$7)*OFFSET(ORÇAMENTO!$W$15,ROW(AI20)-ROW(AI$15),0),15-13*ORÇAMENTO!$AF$11)),
         0)</f>
        <v>0</v>
      </c>
      <c r="AJ20" s="454">
        <f ca="1">IF(AND($D20="Serviço",AJ$12&lt;&gt;0,$H20&gt;0,OR(AUTOEVENTO&lt;&gt;"manual",$M20&lt;&gt;$A$15)),
        IF(Import.TipoArredondamento&lt;&gt;"TransfereGOV",
              ROUND(OFFSET($P20,0,AJ$13),15-13*ORÇAMENTO!$AF$7)/$H20*OFFSET(ORÇAMENTO!$X$15,ROW(AJ20)-ROW(AJ$15),0),
              ROUND(ROUND(OFFSET($P20,0,AJ$13),15-13*ORÇAMENTO!$AF$7)*OFFSET(ORÇAMENTO!$W$15,ROW(AJ20)-ROW(AJ$15),0),15-13*ORÇAMENTO!$AF$11)),
         0)</f>
        <v>0</v>
      </c>
      <c r="AK20" s="454">
        <f ca="1">IF(AND($D20="Serviço",AK$12&lt;&gt;0,$H20&gt;0,OR(AUTOEVENTO&lt;&gt;"manual",$M20&lt;&gt;$A$15)),
        IF(Import.TipoArredondamento&lt;&gt;"TransfereGOV",
              ROUND(OFFSET($P20,0,AK$13),15-13*ORÇAMENTO!$AF$7)/$H20*OFFSET(ORÇAMENTO!$X$15,ROW(AK20)-ROW(AK$15),0),
              ROUND(ROUND(OFFSET($P20,0,AK$13),15-13*ORÇAMENTO!$AF$7)*OFFSET(ORÇAMENTO!$W$15,ROW(AK20)-ROW(AK$15),0),15-13*ORÇAMENTO!$AF$11)),
         0)</f>
        <v>0</v>
      </c>
      <c r="AM20" s="172">
        <f ca="1">IF(OR($D20&lt;&gt;"Serviço",AND(AUTOEVENTO="Manual",$M20=$A$15)),0,
         IF(OFFSET(CRONOPLE!$F$15,$M20-$A$15,AM$13)="",10^12,OFFSET(CRONOPLE!$F$15,$M20-$A$15,AM$13)))</f>
        <v>1000000000000</v>
      </c>
      <c r="AN20" s="172">
        <f ca="1">IF(OR($D20&lt;&gt;"Serviço",AND(AUTOEVENTO="Manual",$M20=$A$15)),0,
         IF(OFFSET(CRONOPLE!$F$15,$M20-$A$15,AN$13)="",10^12,OFFSET(CRONOPLE!$F$15,$M20-$A$15,AN$13)))</f>
        <v>1000000000000</v>
      </c>
      <c r="AO20" s="172">
        <f ca="1">IF(OR($D20&lt;&gt;"Serviço",AND(AUTOEVENTO="Manual",$M20=$A$15)),0,
         IF(OFFSET(CRONOPLE!$F$15,$M20-$A$15,AO$13)="",10^12,OFFSET(CRONOPLE!$F$15,$M20-$A$15,AO$13)))</f>
        <v>1000000000000</v>
      </c>
      <c r="AP20" s="172">
        <f ca="1">IF(OR($D20&lt;&gt;"Serviço",AND(AUTOEVENTO="Manual",$M20=$A$15)),0,
         IF(OFFSET(CRONOPLE!$F$15,$M20-$A$15,AP$13)="",10^12,OFFSET(CRONOPLE!$F$15,$M20-$A$15,AP$13)))</f>
        <v>1000000000000</v>
      </c>
      <c r="AQ20" s="172">
        <f ca="1">IF(OR($D20&lt;&gt;"Serviço",AND(AUTOEVENTO="Manual",$M20=$A$15)),0,
         IF(OFFSET(CRONOPLE!$F$15,$M20-$A$15,AQ$13)="",10^12,OFFSET(CRONOPLE!$F$15,$M20-$A$15,AQ$13)))</f>
        <v>1000000000000</v>
      </c>
      <c r="AR20" s="172">
        <f ca="1">IF(OR($D20&lt;&gt;"Serviço",AND(AUTOEVENTO="Manual",$M20=$A$15)),0,
         IF(OFFSET(CRONOPLE!$F$15,$M20-$A$15,AR$13)="",10^12,OFFSET(CRONOPLE!$F$15,$M20-$A$15,AR$13)))</f>
        <v>1000000000000</v>
      </c>
      <c r="AS20" s="172">
        <f ca="1">IF(OR($D20&lt;&gt;"Serviço",AND(AUTOEVENTO="Manual",$M20=$A$15)),0,
         IF(OFFSET(CRONOPLE!$F$15,$M20-$A$15,AS$13)="",10^12,OFFSET(CRONOPLE!$F$15,$M20-$A$15,AS$13)))</f>
        <v>1000000000000</v>
      </c>
      <c r="AT20" s="172">
        <f ca="1">IF(OR($D20&lt;&gt;"Serviço",AND(AUTOEVENTO="Manual",$M20=$A$15)),0,
         IF(OFFSET(CRONOPLE!$F$15,$M20-$A$15,AT$13)="",10^12,OFFSET(CRONOPLE!$F$15,$M20-$A$15,AT$13)))</f>
        <v>1000000000000</v>
      </c>
      <c r="AU20" s="172">
        <f ca="1">IF(OR($D20&lt;&gt;"Serviço",AND(AUTOEVENTO="Manual",$M20=$A$15)),0,
         IF(OFFSET(CRONOPLE!$F$15,$M20-$A$15,AU$13)="",10^12,OFFSET(CRONOPLE!$F$15,$M20-$A$15,AU$13)))</f>
        <v>1000000000000</v>
      </c>
      <c r="AV20" s="172">
        <f ca="1">IF(OR($D20&lt;&gt;"Serviço",AND(AUTOEVENTO="Manual",$M20=$A$15)),0,
         IF(OFFSET(CRONOPLE!$F$15,$M20-$A$15,AV$13)="",10^12,OFFSET(CRONOPLE!$F$15,$M20-$A$15,AV$13)))</f>
        <v>1000000000000</v>
      </c>
      <c r="AX20" s="173">
        <f ca="1">IF(OR($D20&lt;&gt;"Serviço",AND(AUTOEVENTO="Manual",$M20=$A$15),$M20&gt;(ROW(PLE.lastrow)-ROW(PLE.firstrow))),0,
           IF(OFFSET(PLE!$G$15,$M20-$A$15,AX$13)="",10^12,OFFSET(PLE!$G$15,$M20-$A$15,AX$13)))</f>
        <v>1000000000000</v>
      </c>
      <c r="AY20" s="173">
        <f ca="1">IF(OR($D20&lt;&gt;"Serviço",AND(AUTOEVENTO="Manual",$M20=$A$15),$M20&gt;(ROW(PLE.lastrow)-ROW(PLE.firstrow))),0,
           IF(OFFSET(PLE!$G$15,$M20-$A$15,AY$13)="",10^12,OFFSET(PLE!$G$15,$M20-$A$15,AY$13)))</f>
        <v>1000000000000</v>
      </c>
      <c r="AZ20" s="173">
        <f ca="1">IF(OR($D20&lt;&gt;"Serviço",AND(AUTOEVENTO="Manual",$M20=$A$15),$M20&gt;(ROW(PLE.lastrow)-ROW(PLE.firstrow))),0,
           IF(OFFSET(PLE!$G$15,$M20-$A$15,AZ$13)="",10^12,OFFSET(PLE!$G$15,$M20-$A$15,AZ$13)))</f>
        <v>1000000000000</v>
      </c>
      <c r="BA20" s="173">
        <f ca="1">IF(OR($D20&lt;&gt;"Serviço",AND(AUTOEVENTO="Manual",$M20=$A$15),$M20&gt;(ROW(PLE.lastrow)-ROW(PLE.firstrow))),0,
           IF(OFFSET(PLE!$G$15,$M20-$A$15,BA$13)="",10^12,OFFSET(PLE!$G$15,$M20-$A$15,BA$13)))</f>
        <v>1000000000000</v>
      </c>
      <c r="BB20" s="173">
        <f ca="1">IF(OR($D20&lt;&gt;"Serviço",AND(AUTOEVENTO="Manual",$M20=$A$15),$M20&gt;(ROW(PLE.lastrow)-ROW(PLE.firstrow))),0,
           IF(OFFSET(PLE!$G$15,$M20-$A$15,BB$13)="",10^12,OFFSET(PLE!$G$15,$M20-$A$15,BB$13)))</f>
        <v>1000000000000</v>
      </c>
      <c r="BC20" s="173">
        <f ca="1">IF(OR($D20&lt;&gt;"Serviço",AND(AUTOEVENTO="Manual",$M20=$A$15),$M20&gt;(ROW(PLE.lastrow)-ROW(PLE.firstrow))),0,
           IF(OFFSET(PLE!$G$15,$M20-$A$15,BC$13)="",10^12,OFFSET(PLE!$G$15,$M20-$A$15,BC$13)))</f>
        <v>1000000000000</v>
      </c>
      <c r="BD20" s="173">
        <f ca="1">IF(OR($D20&lt;&gt;"Serviço",AND(AUTOEVENTO="Manual",$M20=$A$15),$M20&gt;(ROW(PLE.lastrow)-ROW(PLE.firstrow))),0,
           IF(OFFSET(PLE!$G$15,$M20-$A$15,BD$13)="",10^12,OFFSET(PLE!$G$15,$M20-$A$15,BD$13)))</f>
        <v>1000000000000</v>
      </c>
      <c r="BE20" s="173">
        <f ca="1">IF(OR($D20&lt;&gt;"Serviço",AND(AUTOEVENTO="Manual",$M20=$A$15),$M20&gt;(ROW(PLE.lastrow)-ROW(PLE.firstrow))),0,
           IF(OFFSET(PLE!$G$15,$M20-$A$15,BE$13)="",10^12,OFFSET(PLE!$G$15,$M20-$A$15,BE$13)))</f>
        <v>1000000000000</v>
      </c>
      <c r="BF20" s="173">
        <f ca="1">IF(OR($D20&lt;&gt;"Serviço",AND(AUTOEVENTO="Manual",$M20=$A$15),$M20&gt;(ROW(PLE.lastrow)-ROW(PLE.firstrow))),0,
           IF(OFFSET(PLE!$G$15,$M20-$A$15,BF$13)="",10^12,OFFSET(PLE!$G$15,$M20-$A$15,BF$13)))</f>
        <v>1000000000000</v>
      </c>
      <c r="BG20" s="173">
        <f ca="1">IF(OR($D20&lt;&gt;"Serviço",AND(AUTOEVENTO="Manual",$M20=$A$15),$M20&gt;(ROW(PLE.lastrow)-ROW(PLE.firstrow))),0,
           IF(OFFSET(PLE!$G$15,$M20-$A$15,BG$13)="",10^12,OFFSET(PLE!$G$15,$M20-$A$15,BG$13)))</f>
        <v>1000000000000</v>
      </c>
    </row>
    <row r="21" spans="1:59" s="662" customFormat="1" ht="12.75" x14ac:dyDescent="0.2">
      <c r="A21" s="660" t="str">
        <f t="shared" ca="1" si="8"/>
        <v>6.</v>
      </c>
      <c r="B21" s="660">
        <f ca="1">OFFSET(ORÇAMENTO!C$15,ROW(B21)-ROW(B$15),0)</f>
        <v>2</v>
      </c>
      <c r="C21" s="660" t="str">
        <f ca="1">OFFSET(ORÇAMENTO!L$15,ROW(C21)-ROW(C$15),0)</f>
        <v>F</v>
      </c>
      <c r="D21" s="117" t="str">
        <f ca="1">OFFSET(ORÇAMENTO!N$15,ROW(D21)-ROW(D$15),0)</f>
        <v>Nível 2</v>
      </c>
      <c r="E21" s="118" t="str">
        <f ca="1">OFFSET(ORÇAMENTO!O$15,ROW(E21)-ROW(E$15),0)</f>
        <v>1.2.</v>
      </c>
      <c r="F21" s="164" t="str">
        <f ca="1">OFFSET(ORÇAMENTO!R$15,ROW(F21)-ROW(F$15),0)</f>
        <v>ESTRUTURAS</v>
      </c>
      <c r="G21" s="165" t="str">
        <f ca="1">IF($D21&lt;&gt;"Serviço","",OFFSET(ORÇAMENTO!S$15,ROW(G21)-ROW(G$15),0))</f>
        <v/>
      </c>
      <c r="H21" s="123">
        <f ca="1">IF($D21&lt;&gt;"Serviço",0,IF(ACOMPANHAMENTO="BM",ROUND(OFFSET(ORÇAMENTO!AJ$15,ROW(H21)-ROW(H$15),0),15-13*ORÇAMENTO!$AF$7),SUMPRODUCT(($Q$1:$AA$1=1)*ROUND($Q21:$AA21,15-13*ORÇAMENTO!$AF$7))))</f>
        <v>0</v>
      </c>
      <c r="I21" s="469"/>
      <c r="J21" s="581" t="str" cm="1">
        <f t="array" aca="1" ref="J21" ca="1">IF(B21&lt;&gt;"S","",IF(AND(ACOMPANHAMENTO="PLE",AUTOEVENTO="Manual",OR(H21&gt;0,ORÇAMENTO!AC21="QUANT."),OR(K21="",M21=0,N21="")),"►",IF(AND(ACOMPANHAMENTO="PLE",ORÇAMENTO!AC21="QUANT."),"►►",IF(AND(COUNTIF($P$11:$AA$11,"▼")=0,H21&gt;0,I21=""),"◄",""))))</f>
        <v/>
      </c>
      <c r="K21" s="641"/>
      <c r="L21" s="166" t="s">
        <v>768</v>
      </c>
      <c r="M21" s="167" t="str">
        <f ca="1">IF($D21&lt;&gt;"Serviço","",
          IF(AUTOEVENTO="manual",$A21,
                IF(ISERROR(MATCH($A21,$A$15:OFFSET($A21,-1,0),0)),MAX($M$15:OFFSET(M21,-1,0))+1,
                      INDEX($M$15:OFFSET(M21,-1,0),MATCH($A21,$A$15:OFFSET($A21,-1,0),0)))))</f>
        <v/>
      </c>
      <c r="N21" s="168" t="str">
        <f ca="1">IF($D21&lt;&gt;"Serviço","",
         IF(AUTOEVENTO="Manual",
                IF($A21=0,"&lt;-- defina o número do agrupador",
                       OFFSET(EVENTOS!$D$15,$A21-$A$15,0)),
                OFFSET($F$15,$A21,0)))</f>
        <v/>
      </c>
      <c r="O21" s="169"/>
      <c r="Q21" s="169"/>
      <c r="R21" s="170"/>
      <c r="S21" s="170"/>
      <c r="T21" s="170"/>
      <c r="U21" s="170"/>
      <c r="V21" s="170"/>
      <c r="W21" s="170"/>
      <c r="X21" s="170"/>
      <c r="Y21" s="170"/>
      <c r="Z21" s="171"/>
      <c r="AB21" s="454">
        <f ca="1">IF(AND($D21="Serviço",AB$12&lt;&gt;0,$H21&gt;0,OR(AUTOEVENTO&lt;&gt;"manual",$M21&lt;&gt;$A$15)),
        IF(Import.TipoArredondamento&lt;&gt;"TransfereGOV",
              ROUND(OFFSET($P21,0,AB$13),15-13*ORÇAMENTO!$AF$7)/$H21*OFFSET(ORÇAMENTO!$X$15,ROW(AB21)-ROW(AB$15),0),
              ROUND(ROUND(OFFSET($P21,0,AB$13),15-13*ORÇAMENTO!$AF$7)*OFFSET(ORÇAMENTO!$W$15,ROW(AB21)-ROW(AB$15),0),15-13*ORÇAMENTO!$AF$11)),
         0)</f>
        <v>0</v>
      </c>
      <c r="AC21" s="454">
        <f ca="1">IF(AND($D21="Serviço",AC$12&lt;&gt;0,$H21&gt;0,OR(AUTOEVENTO&lt;&gt;"manual",$M21&lt;&gt;$A$15)),
        IF(Import.TipoArredondamento&lt;&gt;"TransfereGOV",
              ROUND(OFFSET($P21,0,AC$13),15-13*ORÇAMENTO!$AF$7)/$H21*OFFSET(ORÇAMENTO!$X$15,ROW(AC21)-ROW(AC$15),0),
              ROUND(ROUND(OFFSET($P21,0,AC$13),15-13*ORÇAMENTO!$AF$7)*OFFSET(ORÇAMENTO!$W$15,ROW(AC21)-ROW(AC$15),0),15-13*ORÇAMENTO!$AF$11)),
         0)</f>
        <v>0</v>
      </c>
      <c r="AD21" s="454">
        <f ca="1">IF(AND($D21="Serviço",AD$12&lt;&gt;0,$H21&gt;0,OR(AUTOEVENTO&lt;&gt;"manual",$M21&lt;&gt;$A$15)),
        IF(Import.TipoArredondamento&lt;&gt;"TransfereGOV",
              ROUND(OFFSET($P21,0,AD$13),15-13*ORÇAMENTO!$AF$7)/$H21*OFFSET(ORÇAMENTO!$X$15,ROW(AD21)-ROW(AD$15),0),
              ROUND(ROUND(OFFSET($P21,0,AD$13),15-13*ORÇAMENTO!$AF$7)*OFFSET(ORÇAMENTO!$W$15,ROW(AD21)-ROW(AD$15),0),15-13*ORÇAMENTO!$AF$11)),
         0)</f>
        <v>0</v>
      </c>
      <c r="AE21" s="454">
        <f ca="1">IF(AND($D21="Serviço",AE$12&lt;&gt;0,$H21&gt;0,OR(AUTOEVENTO&lt;&gt;"manual",$M21&lt;&gt;$A$15)),
        IF(Import.TipoArredondamento&lt;&gt;"TransfereGOV",
              ROUND(OFFSET($P21,0,AE$13),15-13*ORÇAMENTO!$AF$7)/$H21*OFFSET(ORÇAMENTO!$X$15,ROW(AE21)-ROW(AE$15),0),
              ROUND(ROUND(OFFSET($P21,0,AE$13),15-13*ORÇAMENTO!$AF$7)*OFFSET(ORÇAMENTO!$W$15,ROW(AE21)-ROW(AE$15),0),15-13*ORÇAMENTO!$AF$11)),
         0)</f>
        <v>0</v>
      </c>
      <c r="AF21" s="454">
        <f ca="1">IF(AND($D21="Serviço",AF$12&lt;&gt;0,$H21&gt;0,OR(AUTOEVENTO&lt;&gt;"manual",$M21&lt;&gt;$A$15)),
        IF(Import.TipoArredondamento&lt;&gt;"TransfereGOV",
              ROUND(OFFSET($P21,0,AF$13),15-13*ORÇAMENTO!$AF$7)/$H21*OFFSET(ORÇAMENTO!$X$15,ROW(AF21)-ROW(AF$15),0),
              ROUND(ROUND(OFFSET($P21,0,AF$13),15-13*ORÇAMENTO!$AF$7)*OFFSET(ORÇAMENTO!$W$15,ROW(AF21)-ROW(AF$15),0),15-13*ORÇAMENTO!$AF$11)),
         0)</f>
        <v>0</v>
      </c>
      <c r="AG21" s="454">
        <f ca="1">IF(AND($D21="Serviço",AG$12&lt;&gt;0,$H21&gt;0,OR(AUTOEVENTO&lt;&gt;"manual",$M21&lt;&gt;$A$15)),
        IF(Import.TipoArredondamento&lt;&gt;"TransfereGOV",
              ROUND(OFFSET($P21,0,AG$13),15-13*ORÇAMENTO!$AF$7)/$H21*OFFSET(ORÇAMENTO!$X$15,ROW(AG21)-ROW(AG$15),0),
              ROUND(ROUND(OFFSET($P21,0,AG$13),15-13*ORÇAMENTO!$AF$7)*OFFSET(ORÇAMENTO!$W$15,ROW(AG21)-ROW(AG$15),0),15-13*ORÇAMENTO!$AF$11)),
         0)</f>
        <v>0</v>
      </c>
      <c r="AH21" s="454">
        <f ca="1">IF(AND($D21="Serviço",AH$12&lt;&gt;0,$H21&gt;0,OR(AUTOEVENTO&lt;&gt;"manual",$M21&lt;&gt;$A$15)),
        IF(Import.TipoArredondamento&lt;&gt;"TransfereGOV",
              ROUND(OFFSET($P21,0,AH$13),15-13*ORÇAMENTO!$AF$7)/$H21*OFFSET(ORÇAMENTO!$X$15,ROW(AH21)-ROW(AH$15),0),
              ROUND(ROUND(OFFSET($P21,0,AH$13),15-13*ORÇAMENTO!$AF$7)*OFFSET(ORÇAMENTO!$W$15,ROW(AH21)-ROW(AH$15),0),15-13*ORÇAMENTO!$AF$11)),
         0)</f>
        <v>0</v>
      </c>
      <c r="AI21" s="454">
        <f ca="1">IF(AND($D21="Serviço",AI$12&lt;&gt;0,$H21&gt;0,OR(AUTOEVENTO&lt;&gt;"manual",$M21&lt;&gt;$A$15)),
        IF(Import.TipoArredondamento&lt;&gt;"TransfereGOV",
              ROUND(OFFSET($P21,0,AI$13),15-13*ORÇAMENTO!$AF$7)/$H21*OFFSET(ORÇAMENTO!$X$15,ROW(AI21)-ROW(AI$15),0),
              ROUND(ROUND(OFFSET($P21,0,AI$13),15-13*ORÇAMENTO!$AF$7)*OFFSET(ORÇAMENTO!$W$15,ROW(AI21)-ROW(AI$15),0),15-13*ORÇAMENTO!$AF$11)),
         0)</f>
        <v>0</v>
      </c>
      <c r="AJ21" s="454">
        <f ca="1">IF(AND($D21="Serviço",AJ$12&lt;&gt;0,$H21&gt;0,OR(AUTOEVENTO&lt;&gt;"manual",$M21&lt;&gt;$A$15)),
        IF(Import.TipoArredondamento&lt;&gt;"TransfereGOV",
              ROUND(OFFSET($P21,0,AJ$13),15-13*ORÇAMENTO!$AF$7)/$H21*OFFSET(ORÇAMENTO!$X$15,ROW(AJ21)-ROW(AJ$15),0),
              ROUND(ROUND(OFFSET($P21,0,AJ$13),15-13*ORÇAMENTO!$AF$7)*OFFSET(ORÇAMENTO!$W$15,ROW(AJ21)-ROW(AJ$15),0),15-13*ORÇAMENTO!$AF$11)),
         0)</f>
        <v>0</v>
      </c>
      <c r="AK21" s="454">
        <f ca="1">IF(AND($D21="Serviço",AK$12&lt;&gt;0,$H21&gt;0,OR(AUTOEVENTO&lt;&gt;"manual",$M21&lt;&gt;$A$15)),
        IF(Import.TipoArredondamento&lt;&gt;"TransfereGOV",
              ROUND(OFFSET($P21,0,AK$13),15-13*ORÇAMENTO!$AF$7)/$H21*OFFSET(ORÇAMENTO!$X$15,ROW(AK21)-ROW(AK$15),0),
              ROUND(ROUND(OFFSET($P21,0,AK$13),15-13*ORÇAMENTO!$AF$7)*OFFSET(ORÇAMENTO!$W$15,ROW(AK21)-ROW(AK$15),0),15-13*ORÇAMENTO!$AF$11)),
         0)</f>
        <v>0</v>
      </c>
      <c r="AM21" s="172">
        <f ca="1">IF(OR($D21&lt;&gt;"Serviço",AND(AUTOEVENTO="Manual",$M21=$A$15)),0,
         IF(OFFSET(CRONOPLE!$F$15,$M21-$A$15,AM$13)="",10^12,OFFSET(CRONOPLE!$F$15,$M21-$A$15,AM$13)))</f>
        <v>0</v>
      </c>
      <c r="AN21" s="172">
        <f ca="1">IF(OR($D21&lt;&gt;"Serviço",AND(AUTOEVENTO="Manual",$M21=$A$15)),0,
         IF(OFFSET(CRONOPLE!$F$15,$M21-$A$15,AN$13)="",10^12,OFFSET(CRONOPLE!$F$15,$M21-$A$15,AN$13)))</f>
        <v>0</v>
      </c>
      <c r="AO21" s="172">
        <f ca="1">IF(OR($D21&lt;&gt;"Serviço",AND(AUTOEVENTO="Manual",$M21=$A$15)),0,
         IF(OFFSET(CRONOPLE!$F$15,$M21-$A$15,AO$13)="",10^12,OFFSET(CRONOPLE!$F$15,$M21-$A$15,AO$13)))</f>
        <v>0</v>
      </c>
      <c r="AP21" s="172">
        <f ca="1">IF(OR($D21&lt;&gt;"Serviço",AND(AUTOEVENTO="Manual",$M21=$A$15)),0,
         IF(OFFSET(CRONOPLE!$F$15,$M21-$A$15,AP$13)="",10^12,OFFSET(CRONOPLE!$F$15,$M21-$A$15,AP$13)))</f>
        <v>0</v>
      </c>
      <c r="AQ21" s="172">
        <f ca="1">IF(OR($D21&lt;&gt;"Serviço",AND(AUTOEVENTO="Manual",$M21=$A$15)),0,
         IF(OFFSET(CRONOPLE!$F$15,$M21-$A$15,AQ$13)="",10^12,OFFSET(CRONOPLE!$F$15,$M21-$A$15,AQ$13)))</f>
        <v>0</v>
      </c>
      <c r="AR21" s="172">
        <f ca="1">IF(OR($D21&lt;&gt;"Serviço",AND(AUTOEVENTO="Manual",$M21=$A$15)),0,
         IF(OFFSET(CRONOPLE!$F$15,$M21-$A$15,AR$13)="",10^12,OFFSET(CRONOPLE!$F$15,$M21-$A$15,AR$13)))</f>
        <v>0</v>
      </c>
      <c r="AS21" s="172">
        <f ca="1">IF(OR($D21&lt;&gt;"Serviço",AND(AUTOEVENTO="Manual",$M21=$A$15)),0,
         IF(OFFSET(CRONOPLE!$F$15,$M21-$A$15,AS$13)="",10^12,OFFSET(CRONOPLE!$F$15,$M21-$A$15,AS$13)))</f>
        <v>0</v>
      </c>
      <c r="AT21" s="172">
        <f ca="1">IF(OR($D21&lt;&gt;"Serviço",AND(AUTOEVENTO="Manual",$M21=$A$15)),0,
         IF(OFFSET(CRONOPLE!$F$15,$M21-$A$15,AT$13)="",10^12,OFFSET(CRONOPLE!$F$15,$M21-$A$15,AT$13)))</f>
        <v>0</v>
      </c>
      <c r="AU21" s="172">
        <f ca="1">IF(OR($D21&lt;&gt;"Serviço",AND(AUTOEVENTO="Manual",$M21=$A$15)),0,
         IF(OFFSET(CRONOPLE!$F$15,$M21-$A$15,AU$13)="",10^12,OFFSET(CRONOPLE!$F$15,$M21-$A$15,AU$13)))</f>
        <v>0</v>
      </c>
      <c r="AV21" s="172">
        <f ca="1">IF(OR($D21&lt;&gt;"Serviço",AND(AUTOEVENTO="Manual",$M21=$A$15)),0,
         IF(OFFSET(CRONOPLE!$F$15,$M21-$A$15,AV$13)="",10^12,OFFSET(CRONOPLE!$F$15,$M21-$A$15,AV$13)))</f>
        <v>0</v>
      </c>
      <c r="AX21" s="173">
        <f ca="1">IF(OR($D21&lt;&gt;"Serviço",AND(AUTOEVENTO="Manual",$M21=$A$15),$M21&gt;(ROW(PLE.lastrow)-ROW(PLE.firstrow))),0,
           IF(OFFSET(PLE!$G$15,$M21-$A$15,AX$13)="",10^12,OFFSET(PLE!$G$15,$M21-$A$15,AX$13)))</f>
        <v>0</v>
      </c>
      <c r="AY21" s="173">
        <f ca="1">IF(OR($D21&lt;&gt;"Serviço",AND(AUTOEVENTO="Manual",$M21=$A$15),$M21&gt;(ROW(PLE.lastrow)-ROW(PLE.firstrow))),0,
           IF(OFFSET(PLE!$G$15,$M21-$A$15,AY$13)="",10^12,OFFSET(PLE!$G$15,$M21-$A$15,AY$13)))</f>
        <v>0</v>
      </c>
      <c r="AZ21" s="173">
        <f ca="1">IF(OR($D21&lt;&gt;"Serviço",AND(AUTOEVENTO="Manual",$M21=$A$15),$M21&gt;(ROW(PLE.lastrow)-ROW(PLE.firstrow))),0,
           IF(OFFSET(PLE!$G$15,$M21-$A$15,AZ$13)="",10^12,OFFSET(PLE!$G$15,$M21-$A$15,AZ$13)))</f>
        <v>0</v>
      </c>
      <c r="BA21" s="173">
        <f ca="1">IF(OR($D21&lt;&gt;"Serviço",AND(AUTOEVENTO="Manual",$M21=$A$15),$M21&gt;(ROW(PLE.lastrow)-ROW(PLE.firstrow))),0,
           IF(OFFSET(PLE!$G$15,$M21-$A$15,BA$13)="",10^12,OFFSET(PLE!$G$15,$M21-$A$15,BA$13)))</f>
        <v>0</v>
      </c>
      <c r="BB21" s="173">
        <f ca="1">IF(OR($D21&lt;&gt;"Serviço",AND(AUTOEVENTO="Manual",$M21=$A$15),$M21&gt;(ROW(PLE.lastrow)-ROW(PLE.firstrow))),0,
           IF(OFFSET(PLE!$G$15,$M21-$A$15,BB$13)="",10^12,OFFSET(PLE!$G$15,$M21-$A$15,BB$13)))</f>
        <v>0</v>
      </c>
      <c r="BC21" s="173">
        <f ca="1">IF(OR($D21&lt;&gt;"Serviço",AND(AUTOEVENTO="Manual",$M21=$A$15),$M21&gt;(ROW(PLE.lastrow)-ROW(PLE.firstrow))),0,
           IF(OFFSET(PLE!$G$15,$M21-$A$15,BC$13)="",10^12,OFFSET(PLE!$G$15,$M21-$A$15,BC$13)))</f>
        <v>0</v>
      </c>
      <c r="BD21" s="173">
        <f ca="1">IF(OR($D21&lt;&gt;"Serviço",AND(AUTOEVENTO="Manual",$M21=$A$15),$M21&gt;(ROW(PLE.lastrow)-ROW(PLE.firstrow))),0,
           IF(OFFSET(PLE!$G$15,$M21-$A$15,BD$13)="",10^12,OFFSET(PLE!$G$15,$M21-$A$15,BD$13)))</f>
        <v>0</v>
      </c>
      <c r="BE21" s="173">
        <f ca="1">IF(OR($D21&lt;&gt;"Serviço",AND(AUTOEVENTO="Manual",$M21=$A$15),$M21&gt;(ROW(PLE.lastrow)-ROW(PLE.firstrow))),0,
           IF(OFFSET(PLE!$G$15,$M21-$A$15,BE$13)="",10^12,OFFSET(PLE!$G$15,$M21-$A$15,BE$13)))</f>
        <v>0</v>
      </c>
      <c r="BF21" s="173">
        <f ca="1">IF(OR($D21&lt;&gt;"Serviço",AND(AUTOEVENTO="Manual",$M21=$A$15),$M21&gt;(ROW(PLE.lastrow)-ROW(PLE.firstrow))),0,
           IF(OFFSET(PLE!$G$15,$M21-$A$15,BF$13)="",10^12,OFFSET(PLE!$G$15,$M21-$A$15,BF$13)))</f>
        <v>0</v>
      </c>
      <c r="BG21" s="173">
        <f ca="1">IF(OR($D21&lt;&gt;"Serviço",AND(AUTOEVENTO="Manual",$M21=$A$15),$M21&gt;(ROW(PLE.lastrow)-ROW(PLE.firstrow))),0,
           IF(OFFSET(PLE!$G$15,$M21-$A$15,BG$13)="",10^12,OFFSET(PLE!$G$15,$M21-$A$15,BG$13)))</f>
        <v>0</v>
      </c>
    </row>
    <row r="22" spans="1:59" s="662" customFormat="1" ht="38.25" x14ac:dyDescent="0.2">
      <c r="A22" s="660" t="str">
        <f t="shared" ca="1" si="8"/>
        <v>6</v>
      </c>
      <c r="B22" s="660" t="str">
        <f ca="1">OFFSET(ORÇAMENTO!C$15,ROW(B22)-ROW(B$15),0)</f>
        <v>S</v>
      </c>
      <c r="C22" s="660" t="str">
        <f ca="1">OFFSET(ORÇAMENTO!L$15,ROW(C22)-ROW(C$15),0)</f>
        <v/>
      </c>
      <c r="D22" s="117" t="str">
        <f ca="1">OFFSET(ORÇAMENTO!N$15,ROW(D22)-ROW(D$15),0)</f>
        <v>Serviço</v>
      </c>
      <c r="E22" s="118" t="str">
        <f ca="1">OFFSET(ORÇAMENTO!O$15,ROW(E22)-ROW(E$15),0)</f>
        <v>-</v>
      </c>
      <c r="F22" s="164" t="str">
        <f ca="1">OFFSET(ORÇAMENTO!R$15,ROW(F22)-ROW(F$15),0)</f>
        <v>(abra o arquivo 'Referência 03-2025.xlsm)</v>
      </c>
      <c r="G22" s="165" t="str">
        <f ca="1">IF($D22&lt;&gt;"Serviço","",OFFSET(ORÇAMENTO!S$15,ROW(G22)-ROW(G$15),0))</f>
        <v>-</v>
      </c>
      <c r="H22" s="123">
        <f ca="1">IF($D22&lt;&gt;"Serviço",0,IF(ACOMPANHAMENTO="BM",ROUND(OFFSET(ORÇAMENTO!AJ$15,ROW(H22)-ROW(H$15),0),15-13*ORÇAMENTO!$AF$7),SUMPRODUCT(($Q$1:$AA$1=1)*ROUND($Q22:$AA22,15-13*ORÇAMENTO!$AF$7))))</f>
        <v>3</v>
      </c>
      <c r="I22" s="469"/>
      <c r="J22" s="581" t="str" cm="1">
        <f t="array" aca="1" ref="J22" ca="1">IF(B22&lt;&gt;"S","",IF(AND(ACOMPANHAMENTO="PLE",AUTOEVENTO="Manual",OR(H22&gt;0,ORÇAMENTO!AC22="QUANT."),OR(K22="",M22=0,N22="")),"►",IF(AND(ACOMPANHAMENTO="PLE",ORÇAMENTO!AC22="QUANT."),"►►",IF(AND(COUNTIF($P$11:$AA$11,"▼")=0,H22&gt;0,I22=""),"◄",""))))</f>
        <v>◄</v>
      </c>
      <c r="K22" s="641"/>
      <c r="L22" s="166" t="s">
        <v>768</v>
      </c>
      <c r="M22" s="167">
        <f ca="1">IF($D22&lt;&gt;"Serviço","",
          IF(AUTOEVENTO="manual",$A22,
                IF(ISERROR(MATCH($A22,$A$15:OFFSET($A22,-1,0),0)),MAX($M$15:OFFSET(M22,-1,0))+1,
                      INDEX($M$15:OFFSET(M22,-1,0),MATCH($A22,$A$15:OFFSET($A22,-1,0),0)))))</f>
        <v>2</v>
      </c>
      <c r="N22" s="168" t="str">
        <f ca="1">IF($D22&lt;&gt;"Serviço","",
         IF(AUTOEVENTO="Manual",
                IF($A22=0,"&lt;-- defina o número do agrupador",
                       OFFSET(EVENTOS!$D$15,$A22-$A$15,0)),
                OFFSET($F$15,$A22,0)))</f>
        <v>ESTRUTURAS</v>
      </c>
      <c r="O22" s="169"/>
      <c r="Q22" s="169"/>
      <c r="R22" s="170"/>
      <c r="S22" s="170"/>
      <c r="T22" s="170"/>
      <c r="U22" s="170"/>
      <c r="V22" s="170"/>
      <c r="W22" s="170"/>
      <c r="X22" s="170"/>
      <c r="Y22" s="170"/>
      <c r="Z22" s="171"/>
      <c r="AB22" s="454">
        <f ca="1">IF(AND($D22="Serviço",AB$12&lt;&gt;0,$H22&gt;0,OR(AUTOEVENTO&lt;&gt;"manual",$M22&lt;&gt;$A$15)),
        IF(Import.TipoArredondamento&lt;&gt;"TransfereGOV",
              ROUND(OFFSET($P22,0,AB$13),15-13*ORÇAMENTO!$AF$7)/$H22*OFFSET(ORÇAMENTO!$X$15,ROW(AB22)-ROW(AB$15),0),
              ROUND(ROUND(OFFSET($P22,0,AB$13),15-13*ORÇAMENTO!$AF$7)*OFFSET(ORÇAMENTO!$W$15,ROW(AB22)-ROW(AB$15),0),15-13*ORÇAMENTO!$AF$11)),
         0)</f>
        <v>0</v>
      </c>
      <c r="AC22" s="454">
        <f ca="1">IF(AND($D22="Serviço",AC$12&lt;&gt;0,$H22&gt;0,OR(AUTOEVENTO&lt;&gt;"manual",$M22&lt;&gt;$A$15)),
        IF(Import.TipoArredondamento&lt;&gt;"TransfereGOV",
              ROUND(OFFSET($P22,0,AC$13),15-13*ORÇAMENTO!$AF$7)/$H22*OFFSET(ORÇAMENTO!$X$15,ROW(AC22)-ROW(AC$15),0),
              ROUND(ROUND(OFFSET($P22,0,AC$13),15-13*ORÇAMENTO!$AF$7)*OFFSET(ORÇAMENTO!$W$15,ROW(AC22)-ROW(AC$15),0),15-13*ORÇAMENTO!$AF$11)),
         0)</f>
        <v>0</v>
      </c>
      <c r="AD22" s="454">
        <f ca="1">IF(AND($D22="Serviço",AD$12&lt;&gt;0,$H22&gt;0,OR(AUTOEVENTO&lt;&gt;"manual",$M22&lt;&gt;$A$15)),
        IF(Import.TipoArredondamento&lt;&gt;"TransfereGOV",
              ROUND(OFFSET($P22,0,AD$13),15-13*ORÇAMENTO!$AF$7)/$H22*OFFSET(ORÇAMENTO!$X$15,ROW(AD22)-ROW(AD$15),0),
              ROUND(ROUND(OFFSET($P22,0,AD$13),15-13*ORÇAMENTO!$AF$7)*OFFSET(ORÇAMENTO!$W$15,ROW(AD22)-ROW(AD$15),0),15-13*ORÇAMENTO!$AF$11)),
         0)</f>
        <v>0</v>
      </c>
      <c r="AE22" s="454">
        <f ca="1">IF(AND($D22="Serviço",AE$12&lt;&gt;0,$H22&gt;0,OR(AUTOEVENTO&lt;&gt;"manual",$M22&lt;&gt;$A$15)),
        IF(Import.TipoArredondamento&lt;&gt;"TransfereGOV",
              ROUND(OFFSET($P22,0,AE$13),15-13*ORÇAMENTO!$AF$7)/$H22*OFFSET(ORÇAMENTO!$X$15,ROW(AE22)-ROW(AE$15),0),
              ROUND(ROUND(OFFSET($P22,0,AE$13),15-13*ORÇAMENTO!$AF$7)*OFFSET(ORÇAMENTO!$W$15,ROW(AE22)-ROW(AE$15),0),15-13*ORÇAMENTO!$AF$11)),
         0)</f>
        <v>0</v>
      </c>
      <c r="AF22" s="454">
        <f ca="1">IF(AND($D22="Serviço",AF$12&lt;&gt;0,$H22&gt;0,OR(AUTOEVENTO&lt;&gt;"manual",$M22&lt;&gt;$A$15)),
        IF(Import.TipoArredondamento&lt;&gt;"TransfereGOV",
              ROUND(OFFSET($P22,0,AF$13),15-13*ORÇAMENTO!$AF$7)/$H22*OFFSET(ORÇAMENTO!$X$15,ROW(AF22)-ROW(AF$15),0),
              ROUND(ROUND(OFFSET($P22,0,AF$13),15-13*ORÇAMENTO!$AF$7)*OFFSET(ORÇAMENTO!$W$15,ROW(AF22)-ROW(AF$15),0),15-13*ORÇAMENTO!$AF$11)),
         0)</f>
        <v>0</v>
      </c>
      <c r="AG22" s="454">
        <f ca="1">IF(AND($D22="Serviço",AG$12&lt;&gt;0,$H22&gt;0,OR(AUTOEVENTO&lt;&gt;"manual",$M22&lt;&gt;$A$15)),
        IF(Import.TipoArredondamento&lt;&gt;"TransfereGOV",
              ROUND(OFFSET($P22,0,AG$13),15-13*ORÇAMENTO!$AF$7)/$H22*OFFSET(ORÇAMENTO!$X$15,ROW(AG22)-ROW(AG$15),0),
              ROUND(ROUND(OFFSET($P22,0,AG$13),15-13*ORÇAMENTO!$AF$7)*OFFSET(ORÇAMENTO!$W$15,ROW(AG22)-ROW(AG$15),0),15-13*ORÇAMENTO!$AF$11)),
         0)</f>
        <v>0</v>
      </c>
      <c r="AH22" s="454">
        <f ca="1">IF(AND($D22="Serviço",AH$12&lt;&gt;0,$H22&gt;0,OR(AUTOEVENTO&lt;&gt;"manual",$M22&lt;&gt;$A$15)),
        IF(Import.TipoArredondamento&lt;&gt;"TransfereGOV",
              ROUND(OFFSET($P22,0,AH$13),15-13*ORÇAMENTO!$AF$7)/$H22*OFFSET(ORÇAMENTO!$X$15,ROW(AH22)-ROW(AH$15),0),
              ROUND(ROUND(OFFSET($P22,0,AH$13),15-13*ORÇAMENTO!$AF$7)*OFFSET(ORÇAMENTO!$W$15,ROW(AH22)-ROW(AH$15),0),15-13*ORÇAMENTO!$AF$11)),
         0)</f>
        <v>0</v>
      </c>
      <c r="AI22" s="454">
        <f ca="1">IF(AND($D22="Serviço",AI$12&lt;&gt;0,$H22&gt;0,OR(AUTOEVENTO&lt;&gt;"manual",$M22&lt;&gt;$A$15)),
        IF(Import.TipoArredondamento&lt;&gt;"TransfereGOV",
              ROUND(OFFSET($P22,0,AI$13),15-13*ORÇAMENTO!$AF$7)/$H22*OFFSET(ORÇAMENTO!$X$15,ROW(AI22)-ROW(AI$15),0),
              ROUND(ROUND(OFFSET($P22,0,AI$13),15-13*ORÇAMENTO!$AF$7)*OFFSET(ORÇAMENTO!$W$15,ROW(AI22)-ROW(AI$15),0),15-13*ORÇAMENTO!$AF$11)),
         0)</f>
        <v>0</v>
      </c>
      <c r="AJ22" s="454">
        <f ca="1">IF(AND($D22="Serviço",AJ$12&lt;&gt;0,$H22&gt;0,OR(AUTOEVENTO&lt;&gt;"manual",$M22&lt;&gt;$A$15)),
        IF(Import.TipoArredondamento&lt;&gt;"TransfereGOV",
              ROUND(OFFSET($P22,0,AJ$13),15-13*ORÇAMENTO!$AF$7)/$H22*OFFSET(ORÇAMENTO!$X$15,ROW(AJ22)-ROW(AJ$15),0),
              ROUND(ROUND(OFFSET($P22,0,AJ$13),15-13*ORÇAMENTO!$AF$7)*OFFSET(ORÇAMENTO!$W$15,ROW(AJ22)-ROW(AJ$15),0),15-13*ORÇAMENTO!$AF$11)),
         0)</f>
        <v>0</v>
      </c>
      <c r="AK22" s="454">
        <f ca="1">IF(AND($D22="Serviço",AK$12&lt;&gt;0,$H22&gt;0,OR(AUTOEVENTO&lt;&gt;"manual",$M22&lt;&gt;$A$15)),
        IF(Import.TipoArredondamento&lt;&gt;"TransfereGOV",
              ROUND(OFFSET($P22,0,AK$13),15-13*ORÇAMENTO!$AF$7)/$H22*OFFSET(ORÇAMENTO!$X$15,ROW(AK22)-ROW(AK$15),0),
              ROUND(ROUND(OFFSET($P22,0,AK$13),15-13*ORÇAMENTO!$AF$7)*OFFSET(ORÇAMENTO!$W$15,ROW(AK22)-ROW(AK$15),0),15-13*ORÇAMENTO!$AF$11)),
         0)</f>
        <v>0</v>
      </c>
      <c r="AM22" s="172">
        <f ca="1">IF(OR($D22&lt;&gt;"Serviço",AND(AUTOEVENTO="Manual",$M22=$A$15)),0,
         IF(OFFSET(CRONOPLE!$F$15,$M22-$A$15,AM$13)="",10^12,OFFSET(CRONOPLE!$F$15,$M22-$A$15,AM$13)))</f>
        <v>1000000000000</v>
      </c>
      <c r="AN22" s="172">
        <f ca="1">IF(OR($D22&lt;&gt;"Serviço",AND(AUTOEVENTO="Manual",$M22=$A$15)),0,
         IF(OFFSET(CRONOPLE!$F$15,$M22-$A$15,AN$13)="",10^12,OFFSET(CRONOPLE!$F$15,$M22-$A$15,AN$13)))</f>
        <v>1000000000000</v>
      </c>
      <c r="AO22" s="172">
        <f ca="1">IF(OR($D22&lt;&gt;"Serviço",AND(AUTOEVENTO="Manual",$M22=$A$15)),0,
         IF(OFFSET(CRONOPLE!$F$15,$M22-$A$15,AO$13)="",10^12,OFFSET(CRONOPLE!$F$15,$M22-$A$15,AO$13)))</f>
        <v>1000000000000</v>
      </c>
      <c r="AP22" s="172">
        <f ca="1">IF(OR($D22&lt;&gt;"Serviço",AND(AUTOEVENTO="Manual",$M22=$A$15)),0,
         IF(OFFSET(CRONOPLE!$F$15,$M22-$A$15,AP$13)="",10^12,OFFSET(CRONOPLE!$F$15,$M22-$A$15,AP$13)))</f>
        <v>1000000000000</v>
      </c>
      <c r="AQ22" s="172">
        <f ca="1">IF(OR($D22&lt;&gt;"Serviço",AND(AUTOEVENTO="Manual",$M22=$A$15)),0,
         IF(OFFSET(CRONOPLE!$F$15,$M22-$A$15,AQ$13)="",10^12,OFFSET(CRONOPLE!$F$15,$M22-$A$15,AQ$13)))</f>
        <v>1000000000000</v>
      </c>
      <c r="AR22" s="172">
        <f ca="1">IF(OR($D22&lt;&gt;"Serviço",AND(AUTOEVENTO="Manual",$M22=$A$15)),0,
         IF(OFFSET(CRONOPLE!$F$15,$M22-$A$15,AR$13)="",10^12,OFFSET(CRONOPLE!$F$15,$M22-$A$15,AR$13)))</f>
        <v>1000000000000</v>
      </c>
      <c r="AS22" s="172">
        <f ca="1">IF(OR($D22&lt;&gt;"Serviço",AND(AUTOEVENTO="Manual",$M22=$A$15)),0,
         IF(OFFSET(CRONOPLE!$F$15,$M22-$A$15,AS$13)="",10^12,OFFSET(CRONOPLE!$F$15,$M22-$A$15,AS$13)))</f>
        <v>1000000000000</v>
      </c>
      <c r="AT22" s="172">
        <f ca="1">IF(OR($D22&lt;&gt;"Serviço",AND(AUTOEVENTO="Manual",$M22=$A$15)),0,
         IF(OFFSET(CRONOPLE!$F$15,$M22-$A$15,AT$13)="",10^12,OFFSET(CRONOPLE!$F$15,$M22-$A$15,AT$13)))</f>
        <v>1000000000000</v>
      </c>
      <c r="AU22" s="172">
        <f ca="1">IF(OR($D22&lt;&gt;"Serviço",AND(AUTOEVENTO="Manual",$M22=$A$15)),0,
         IF(OFFSET(CRONOPLE!$F$15,$M22-$A$15,AU$13)="",10^12,OFFSET(CRONOPLE!$F$15,$M22-$A$15,AU$13)))</f>
        <v>1000000000000</v>
      </c>
      <c r="AV22" s="172">
        <f ca="1">IF(OR($D22&lt;&gt;"Serviço",AND(AUTOEVENTO="Manual",$M22=$A$15)),0,
         IF(OFFSET(CRONOPLE!$F$15,$M22-$A$15,AV$13)="",10^12,OFFSET(CRONOPLE!$F$15,$M22-$A$15,AV$13)))</f>
        <v>1000000000000</v>
      </c>
      <c r="AX22" s="173">
        <f ca="1">IF(OR($D22&lt;&gt;"Serviço",AND(AUTOEVENTO="Manual",$M22=$A$15),$M22&gt;(ROW(PLE.lastrow)-ROW(PLE.firstrow))),0,
           IF(OFFSET(PLE!$G$15,$M22-$A$15,AX$13)="",10^12,OFFSET(PLE!$G$15,$M22-$A$15,AX$13)))</f>
        <v>1000000000000</v>
      </c>
      <c r="AY22" s="173">
        <f ca="1">IF(OR($D22&lt;&gt;"Serviço",AND(AUTOEVENTO="Manual",$M22=$A$15),$M22&gt;(ROW(PLE.lastrow)-ROW(PLE.firstrow))),0,
           IF(OFFSET(PLE!$G$15,$M22-$A$15,AY$13)="",10^12,OFFSET(PLE!$G$15,$M22-$A$15,AY$13)))</f>
        <v>1000000000000</v>
      </c>
      <c r="AZ22" s="173">
        <f ca="1">IF(OR($D22&lt;&gt;"Serviço",AND(AUTOEVENTO="Manual",$M22=$A$15),$M22&gt;(ROW(PLE.lastrow)-ROW(PLE.firstrow))),0,
           IF(OFFSET(PLE!$G$15,$M22-$A$15,AZ$13)="",10^12,OFFSET(PLE!$G$15,$M22-$A$15,AZ$13)))</f>
        <v>1000000000000</v>
      </c>
      <c r="BA22" s="173">
        <f ca="1">IF(OR($D22&lt;&gt;"Serviço",AND(AUTOEVENTO="Manual",$M22=$A$15),$M22&gt;(ROW(PLE.lastrow)-ROW(PLE.firstrow))),0,
           IF(OFFSET(PLE!$G$15,$M22-$A$15,BA$13)="",10^12,OFFSET(PLE!$G$15,$M22-$A$15,BA$13)))</f>
        <v>1000000000000</v>
      </c>
      <c r="BB22" s="173">
        <f ca="1">IF(OR($D22&lt;&gt;"Serviço",AND(AUTOEVENTO="Manual",$M22=$A$15),$M22&gt;(ROW(PLE.lastrow)-ROW(PLE.firstrow))),0,
           IF(OFFSET(PLE!$G$15,$M22-$A$15,BB$13)="",10^12,OFFSET(PLE!$G$15,$M22-$A$15,BB$13)))</f>
        <v>1000000000000</v>
      </c>
      <c r="BC22" s="173">
        <f ca="1">IF(OR($D22&lt;&gt;"Serviço",AND(AUTOEVENTO="Manual",$M22=$A$15),$M22&gt;(ROW(PLE.lastrow)-ROW(PLE.firstrow))),0,
           IF(OFFSET(PLE!$G$15,$M22-$A$15,BC$13)="",10^12,OFFSET(PLE!$G$15,$M22-$A$15,BC$13)))</f>
        <v>1000000000000</v>
      </c>
      <c r="BD22" s="173">
        <f ca="1">IF(OR($D22&lt;&gt;"Serviço",AND(AUTOEVENTO="Manual",$M22=$A$15),$M22&gt;(ROW(PLE.lastrow)-ROW(PLE.firstrow))),0,
           IF(OFFSET(PLE!$G$15,$M22-$A$15,BD$13)="",10^12,OFFSET(PLE!$G$15,$M22-$A$15,BD$13)))</f>
        <v>1000000000000</v>
      </c>
      <c r="BE22" s="173">
        <f ca="1">IF(OR($D22&lt;&gt;"Serviço",AND(AUTOEVENTO="Manual",$M22=$A$15),$M22&gt;(ROW(PLE.lastrow)-ROW(PLE.firstrow))),0,
           IF(OFFSET(PLE!$G$15,$M22-$A$15,BE$13)="",10^12,OFFSET(PLE!$G$15,$M22-$A$15,BE$13)))</f>
        <v>1000000000000</v>
      </c>
      <c r="BF22" s="173">
        <f ca="1">IF(OR($D22&lt;&gt;"Serviço",AND(AUTOEVENTO="Manual",$M22=$A$15),$M22&gt;(ROW(PLE.lastrow)-ROW(PLE.firstrow))),0,
           IF(OFFSET(PLE!$G$15,$M22-$A$15,BF$13)="",10^12,OFFSET(PLE!$G$15,$M22-$A$15,BF$13)))</f>
        <v>1000000000000</v>
      </c>
      <c r="BG22" s="173">
        <f ca="1">IF(OR($D22&lt;&gt;"Serviço",AND(AUTOEVENTO="Manual",$M22=$A$15),$M22&gt;(ROW(PLE.lastrow)-ROW(PLE.firstrow))),0,
           IF(OFFSET(PLE!$G$15,$M22-$A$15,BG$13)="",10^12,OFFSET(PLE!$G$15,$M22-$A$15,BG$13)))</f>
        <v>1000000000000</v>
      </c>
    </row>
    <row r="23" spans="1:59" s="662" customFormat="1" ht="51" x14ac:dyDescent="0.2">
      <c r="A23" s="660" t="str">
        <f t="shared" ca="1" si="8"/>
        <v>6</v>
      </c>
      <c r="B23" s="660" t="str">
        <f ca="1">OFFSET(ORÇAMENTO!C$15,ROW(B23)-ROW(B$15),0)</f>
        <v>S</v>
      </c>
      <c r="C23" s="660" t="str">
        <f ca="1">OFFSET(ORÇAMENTO!L$15,ROW(C23)-ROW(C$15),0)</f>
        <v/>
      </c>
      <c r="D23" s="117" t="str">
        <f ca="1">OFFSET(ORÇAMENTO!N$15,ROW(D23)-ROW(D$15),0)</f>
        <v>Serviço</v>
      </c>
      <c r="E23" s="118" t="str">
        <f ca="1">OFFSET(ORÇAMENTO!O$15,ROW(E23)-ROW(E$15),0)</f>
        <v>-</v>
      </c>
      <c r="F23" s="164" t="str">
        <f ca="1">OFFSET(ORÇAMENTO!R$15,ROW(F23)-ROW(F$15),0)</f>
        <v>(abra o arquivo 'Referência 03-2025.xlsm)</v>
      </c>
      <c r="G23" s="165" t="str">
        <f ca="1">IF($D23&lt;&gt;"Serviço","",OFFSET(ORÇAMENTO!S$15,ROW(G23)-ROW(G$15),0))</f>
        <v>-</v>
      </c>
      <c r="H23" s="123">
        <f ca="1">IF($D23&lt;&gt;"Serviço",0,IF(ACOMPANHAMENTO="BM",ROUND(OFFSET(ORÇAMENTO!AJ$15,ROW(H23)-ROW(H$15),0),15-13*ORÇAMENTO!$AF$7),SUMPRODUCT(($Q$1:$AA$1=1)*ROUND($Q23:$AA23,15-13*ORÇAMENTO!$AF$7))))</f>
        <v>299.10000000000002</v>
      </c>
      <c r="I23" s="469"/>
      <c r="J23" s="581" t="str" cm="1">
        <f t="array" aca="1" ref="J23" ca="1">IF(B23&lt;&gt;"S","",IF(AND(ACOMPANHAMENTO="PLE",AUTOEVENTO="Manual",OR(H23&gt;0,ORÇAMENTO!AC23="QUANT."),OR(K23="",M23=0,N23="")),"►",IF(AND(ACOMPANHAMENTO="PLE",ORÇAMENTO!AC23="QUANT."),"►►",IF(AND(COUNTIF($P$11:$AA$11,"▼")=0,H23&gt;0,I23=""),"◄",""))))</f>
        <v>◄</v>
      </c>
      <c r="K23" s="641"/>
      <c r="L23" s="166" t="s">
        <v>768</v>
      </c>
      <c r="M23" s="167">
        <f ca="1">IF($D23&lt;&gt;"Serviço","",
          IF(AUTOEVENTO="manual",$A23,
                IF(ISERROR(MATCH($A23,$A$15:OFFSET($A23,-1,0),0)),MAX($M$15:OFFSET(M23,-1,0))+1,
                      INDEX($M$15:OFFSET(M23,-1,0),MATCH($A23,$A$15:OFFSET($A23,-1,0),0)))))</f>
        <v>2</v>
      </c>
      <c r="N23" s="168" t="str">
        <f ca="1">IF($D23&lt;&gt;"Serviço","",
         IF(AUTOEVENTO="Manual",
                IF($A23=0,"&lt;-- defina o número do agrupador",
                       OFFSET(EVENTOS!$D$15,$A23-$A$15,0)),
                OFFSET($F$15,$A23,0)))</f>
        <v>ESTRUTURAS</v>
      </c>
      <c r="O23" s="169"/>
      <c r="Q23" s="169"/>
      <c r="R23" s="170"/>
      <c r="S23" s="170"/>
      <c r="T23" s="170"/>
      <c r="U23" s="170"/>
      <c r="V23" s="170"/>
      <c r="W23" s="170"/>
      <c r="X23" s="170"/>
      <c r="Y23" s="170"/>
      <c r="Z23" s="171"/>
      <c r="AB23" s="454">
        <f ca="1">IF(AND($D23="Serviço",AB$12&lt;&gt;0,$H23&gt;0,OR(AUTOEVENTO&lt;&gt;"manual",$M23&lt;&gt;$A$15)),
        IF(Import.TipoArredondamento&lt;&gt;"TransfereGOV",
              ROUND(OFFSET($P23,0,AB$13),15-13*ORÇAMENTO!$AF$7)/$H23*OFFSET(ORÇAMENTO!$X$15,ROW(AB23)-ROW(AB$15),0),
              ROUND(ROUND(OFFSET($P23,0,AB$13),15-13*ORÇAMENTO!$AF$7)*OFFSET(ORÇAMENTO!$W$15,ROW(AB23)-ROW(AB$15),0),15-13*ORÇAMENTO!$AF$11)),
         0)</f>
        <v>0</v>
      </c>
      <c r="AC23" s="454">
        <f ca="1">IF(AND($D23="Serviço",AC$12&lt;&gt;0,$H23&gt;0,OR(AUTOEVENTO&lt;&gt;"manual",$M23&lt;&gt;$A$15)),
        IF(Import.TipoArredondamento&lt;&gt;"TransfereGOV",
              ROUND(OFFSET($P23,0,AC$13),15-13*ORÇAMENTO!$AF$7)/$H23*OFFSET(ORÇAMENTO!$X$15,ROW(AC23)-ROW(AC$15),0),
              ROUND(ROUND(OFFSET($P23,0,AC$13),15-13*ORÇAMENTO!$AF$7)*OFFSET(ORÇAMENTO!$W$15,ROW(AC23)-ROW(AC$15),0),15-13*ORÇAMENTO!$AF$11)),
         0)</f>
        <v>0</v>
      </c>
      <c r="AD23" s="454">
        <f ca="1">IF(AND($D23="Serviço",AD$12&lt;&gt;0,$H23&gt;0,OR(AUTOEVENTO&lt;&gt;"manual",$M23&lt;&gt;$A$15)),
        IF(Import.TipoArredondamento&lt;&gt;"TransfereGOV",
              ROUND(OFFSET($P23,0,AD$13),15-13*ORÇAMENTO!$AF$7)/$H23*OFFSET(ORÇAMENTO!$X$15,ROW(AD23)-ROW(AD$15),0),
              ROUND(ROUND(OFFSET($P23,0,AD$13),15-13*ORÇAMENTO!$AF$7)*OFFSET(ORÇAMENTO!$W$15,ROW(AD23)-ROW(AD$15),0),15-13*ORÇAMENTO!$AF$11)),
         0)</f>
        <v>0</v>
      </c>
      <c r="AE23" s="454">
        <f ca="1">IF(AND($D23="Serviço",AE$12&lt;&gt;0,$H23&gt;0,OR(AUTOEVENTO&lt;&gt;"manual",$M23&lt;&gt;$A$15)),
        IF(Import.TipoArredondamento&lt;&gt;"TransfereGOV",
              ROUND(OFFSET($P23,0,AE$13),15-13*ORÇAMENTO!$AF$7)/$H23*OFFSET(ORÇAMENTO!$X$15,ROW(AE23)-ROW(AE$15),0),
              ROUND(ROUND(OFFSET($P23,0,AE$13),15-13*ORÇAMENTO!$AF$7)*OFFSET(ORÇAMENTO!$W$15,ROW(AE23)-ROW(AE$15),0),15-13*ORÇAMENTO!$AF$11)),
         0)</f>
        <v>0</v>
      </c>
      <c r="AF23" s="454">
        <f ca="1">IF(AND($D23="Serviço",AF$12&lt;&gt;0,$H23&gt;0,OR(AUTOEVENTO&lt;&gt;"manual",$M23&lt;&gt;$A$15)),
        IF(Import.TipoArredondamento&lt;&gt;"TransfereGOV",
              ROUND(OFFSET($P23,0,AF$13),15-13*ORÇAMENTO!$AF$7)/$H23*OFFSET(ORÇAMENTO!$X$15,ROW(AF23)-ROW(AF$15),0),
              ROUND(ROUND(OFFSET($P23,0,AF$13),15-13*ORÇAMENTO!$AF$7)*OFFSET(ORÇAMENTO!$W$15,ROW(AF23)-ROW(AF$15),0),15-13*ORÇAMENTO!$AF$11)),
         0)</f>
        <v>0</v>
      </c>
      <c r="AG23" s="454">
        <f ca="1">IF(AND($D23="Serviço",AG$12&lt;&gt;0,$H23&gt;0,OR(AUTOEVENTO&lt;&gt;"manual",$M23&lt;&gt;$A$15)),
        IF(Import.TipoArredondamento&lt;&gt;"TransfereGOV",
              ROUND(OFFSET($P23,0,AG$13),15-13*ORÇAMENTO!$AF$7)/$H23*OFFSET(ORÇAMENTO!$X$15,ROW(AG23)-ROW(AG$15),0),
              ROUND(ROUND(OFFSET($P23,0,AG$13),15-13*ORÇAMENTO!$AF$7)*OFFSET(ORÇAMENTO!$W$15,ROW(AG23)-ROW(AG$15),0),15-13*ORÇAMENTO!$AF$11)),
         0)</f>
        <v>0</v>
      </c>
      <c r="AH23" s="454">
        <f ca="1">IF(AND($D23="Serviço",AH$12&lt;&gt;0,$H23&gt;0,OR(AUTOEVENTO&lt;&gt;"manual",$M23&lt;&gt;$A$15)),
        IF(Import.TipoArredondamento&lt;&gt;"TransfereGOV",
              ROUND(OFFSET($P23,0,AH$13),15-13*ORÇAMENTO!$AF$7)/$H23*OFFSET(ORÇAMENTO!$X$15,ROW(AH23)-ROW(AH$15),0),
              ROUND(ROUND(OFFSET($P23,0,AH$13),15-13*ORÇAMENTO!$AF$7)*OFFSET(ORÇAMENTO!$W$15,ROW(AH23)-ROW(AH$15),0),15-13*ORÇAMENTO!$AF$11)),
         0)</f>
        <v>0</v>
      </c>
      <c r="AI23" s="454">
        <f ca="1">IF(AND($D23="Serviço",AI$12&lt;&gt;0,$H23&gt;0,OR(AUTOEVENTO&lt;&gt;"manual",$M23&lt;&gt;$A$15)),
        IF(Import.TipoArredondamento&lt;&gt;"TransfereGOV",
              ROUND(OFFSET($P23,0,AI$13),15-13*ORÇAMENTO!$AF$7)/$H23*OFFSET(ORÇAMENTO!$X$15,ROW(AI23)-ROW(AI$15),0),
              ROUND(ROUND(OFFSET($P23,0,AI$13),15-13*ORÇAMENTO!$AF$7)*OFFSET(ORÇAMENTO!$W$15,ROW(AI23)-ROW(AI$15),0),15-13*ORÇAMENTO!$AF$11)),
         0)</f>
        <v>0</v>
      </c>
      <c r="AJ23" s="454">
        <f ca="1">IF(AND($D23="Serviço",AJ$12&lt;&gt;0,$H23&gt;0,OR(AUTOEVENTO&lt;&gt;"manual",$M23&lt;&gt;$A$15)),
        IF(Import.TipoArredondamento&lt;&gt;"TransfereGOV",
              ROUND(OFFSET($P23,0,AJ$13),15-13*ORÇAMENTO!$AF$7)/$H23*OFFSET(ORÇAMENTO!$X$15,ROW(AJ23)-ROW(AJ$15),0),
              ROUND(ROUND(OFFSET($P23,0,AJ$13),15-13*ORÇAMENTO!$AF$7)*OFFSET(ORÇAMENTO!$W$15,ROW(AJ23)-ROW(AJ$15),0),15-13*ORÇAMENTO!$AF$11)),
         0)</f>
        <v>0</v>
      </c>
      <c r="AK23" s="454">
        <f ca="1">IF(AND($D23="Serviço",AK$12&lt;&gt;0,$H23&gt;0,OR(AUTOEVENTO&lt;&gt;"manual",$M23&lt;&gt;$A$15)),
        IF(Import.TipoArredondamento&lt;&gt;"TransfereGOV",
              ROUND(OFFSET($P23,0,AK$13),15-13*ORÇAMENTO!$AF$7)/$H23*OFFSET(ORÇAMENTO!$X$15,ROW(AK23)-ROW(AK$15),0),
              ROUND(ROUND(OFFSET($P23,0,AK$13),15-13*ORÇAMENTO!$AF$7)*OFFSET(ORÇAMENTO!$W$15,ROW(AK23)-ROW(AK$15),0),15-13*ORÇAMENTO!$AF$11)),
         0)</f>
        <v>0</v>
      </c>
      <c r="AM23" s="172">
        <f ca="1">IF(OR($D23&lt;&gt;"Serviço",AND(AUTOEVENTO="Manual",$M23=$A$15)),0,
         IF(OFFSET(CRONOPLE!$F$15,$M23-$A$15,AM$13)="",10^12,OFFSET(CRONOPLE!$F$15,$M23-$A$15,AM$13)))</f>
        <v>1000000000000</v>
      </c>
      <c r="AN23" s="172">
        <f ca="1">IF(OR($D23&lt;&gt;"Serviço",AND(AUTOEVENTO="Manual",$M23=$A$15)),0,
         IF(OFFSET(CRONOPLE!$F$15,$M23-$A$15,AN$13)="",10^12,OFFSET(CRONOPLE!$F$15,$M23-$A$15,AN$13)))</f>
        <v>1000000000000</v>
      </c>
      <c r="AO23" s="172">
        <f ca="1">IF(OR($D23&lt;&gt;"Serviço",AND(AUTOEVENTO="Manual",$M23=$A$15)),0,
         IF(OFFSET(CRONOPLE!$F$15,$M23-$A$15,AO$13)="",10^12,OFFSET(CRONOPLE!$F$15,$M23-$A$15,AO$13)))</f>
        <v>1000000000000</v>
      </c>
      <c r="AP23" s="172">
        <f ca="1">IF(OR($D23&lt;&gt;"Serviço",AND(AUTOEVENTO="Manual",$M23=$A$15)),0,
         IF(OFFSET(CRONOPLE!$F$15,$M23-$A$15,AP$13)="",10^12,OFFSET(CRONOPLE!$F$15,$M23-$A$15,AP$13)))</f>
        <v>1000000000000</v>
      </c>
      <c r="AQ23" s="172">
        <f ca="1">IF(OR($D23&lt;&gt;"Serviço",AND(AUTOEVENTO="Manual",$M23=$A$15)),0,
         IF(OFFSET(CRONOPLE!$F$15,$M23-$A$15,AQ$13)="",10^12,OFFSET(CRONOPLE!$F$15,$M23-$A$15,AQ$13)))</f>
        <v>1000000000000</v>
      </c>
      <c r="AR23" s="172">
        <f ca="1">IF(OR($D23&lt;&gt;"Serviço",AND(AUTOEVENTO="Manual",$M23=$A$15)),0,
         IF(OFFSET(CRONOPLE!$F$15,$M23-$A$15,AR$13)="",10^12,OFFSET(CRONOPLE!$F$15,$M23-$A$15,AR$13)))</f>
        <v>1000000000000</v>
      </c>
      <c r="AS23" s="172">
        <f ca="1">IF(OR($D23&lt;&gt;"Serviço",AND(AUTOEVENTO="Manual",$M23=$A$15)),0,
         IF(OFFSET(CRONOPLE!$F$15,$M23-$A$15,AS$13)="",10^12,OFFSET(CRONOPLE!$F$15,$M23-$A$15,AS$13)))</f>
        <v>1000000000000</v>
      </c>
      <c r="AT23" s="172">
        <f ca="1">IF(OR($D23&lt;&gt;"Serviço",AND(AUTOEVENTO="Manual",$M23=$A$15)),0,
         IF(OFFSET(CRONOPLE!$F$15,$M23-$A$15,AT$13)="",10^12,OFFSET(CRONOPLE!$F$15,$M23-$A$15,AT$13)))</f>
        <v>1000000000000</v>
      </c>
      <c r="AU23" s="172">
        <f ca="1">IF(OR($D23&lt;&gt;"Serviço",AND(AUTOEVENTO="Manual",$M23=$A$15)),0,
         IF(OFFSET(CRONOPLE!$F$15,$M23-$A$15,AU$13)="",10^12,OFFSET(CRONOPLE!$F$15,$M23-$A$15,AU$13)))</f>
        <v>1000000000000</v>
      </c>
      <c r="AV23" s="172">
        <f ca="1">IF(OR($D23&lt;&gt;"Serviço",AND(AUTOEVENTO="Manual",$M23=$A$15)),0,
         IF(OFFSET(CRONOPLE!$F$15,$M23-$A$15,AV$13)="",10^12,OFFSET(CRONOPLE!$F$15,$M23-$A$15,AV$13)))</f>
        <v>1000000000000</v>
      </c>
      <c r="AX23" s="173">
        <f ca="1">IF(OR($D23&lt;&gt;"Serviço",AND(AUTOEVENTO="Manual",$M23=$A$15),$M23&gt;(ROW(PLE.lastrow)-ROW(PLE.firstrow))),0,
           IF(OFFSET(PLE!$G$15,$M23-$A$15,AX$13)="",10^12,OFFSET(PLE!$G$15,$M23-$A$15,AX$13)))</f>
        <v>1000000000000</v>
      </c>
      <c r="AY23" s="173">
        <f ca="1">IF(OR($D23&lt;&gt;"Serviço",AND(AUTOEVENTO="Manual",$M23=$A$15),$M23&gt;(ROW(PLE.lastrow)-ROW(PLE.firstrow))),0,
           IF(OFFSET(PLE!$G$15,$M23-$A$15,AY$13)="",10^12,OFFSET(PLE!$G$15,$M23-$A$15,AY$13)))</f>
        <v>1000000000000</v>
      </c>
      <c r="AZ23" s="173">
        <f ca="1">IF(OR($D23&lt;&gt;"Serviço",AND(AUTOEVENTO="Manual",$M23=$A$15),$M23&gt;(ROW(PLE.lastrow)-ROW(PLE.firstrow))),0,
           IF(OFFSET(PLE!$G$15,$M23-$A$15,AZ$13)="",10^12,OFFSET(PLE!$G$15,$M23-$A$15,AZ$13)))</f>
        <v>1000000000000</v>
      </c>
      <c r="BA23" s="173">
        <f ca="1">IF(OR($D23&lt;&gt;"Serviço",AND(AUTOEVENTO="Manual",$M23=$A$15),$M23&gt;(ROW(PLE.lastrow)-ROW(PLE.firstrow))),0,
           IF(OFFSET(PLE!$G$15,$M23-$A$15,BA$13)="",10^12,OFFSET(PLE!$G$15,$M23-$A$15,BA$13)))</f>
        <v>1000000000000</v>
      </c>
      <c r="BB23" s="173">
        <f ca="1">IF(OR($D23&lt;&gt;"Serviço",AND(AUTOEVENTO="Manual",$M23=$A$15),$M23&gt;(ROW(PLE.lastrow)-ROW(PLE.firstrow))),0,
           IF(OFFSET(PLE!$G$15,$M23-$A$15,BB$13)="",10^12,OFFSET(PLE!$G$15,$M23-$A$15,BB$13)))</f>
        <v>1000000000000</v>
      </c>
      <c r="BC23" s="173">
        <f ca="1">IF(OR($D23&lt;&gt;"Serviço",AND(AUTOEVENTO="Manual",$M23=$A$15),$M23&gt;(ROW(PLE.lastrow)-ROW(PLE.firstrow))),0,
           IF(OFFSET(PLE!$G$15,$M23-$A$15,BC$13)="",10^12,OFFSET(PLE!$G$15,$M23-$A$15,BC$13)))</f>
        <v>1000000000000</v>
      </c>
      <c r="BD23" s="173">
        <f ca="1">IF(OR($D23&lt;&gt;"Serviço",AND(AUTOEVENTO="Manual",$M23=$A$15),$M23&gt;(ROW(PLE.lastrow)-ROW(PLE.firstrow))),0,
           IF(OFFSET(PLE!$G$15,$M23-$A$15,BD$13)="",10^12,OFFSET(PLE!$G$15,$M23-$A$15,BD$13)))</f>
        <v>1000000000000</v>
      </c>
      <c r="BE23" s="173">
        <f ca="1">IF(OR($D23&lt;&gt;"Serviço",AND(AUTOEVENTO="Manual",$M23=$A$15),$M23&gt;(ROW(PLE.lastrow)-ROW(PLE.firstrow))),0,
           IF(OFFSET(PLE!$G$15,$M23-$A$15,BE$13)="",10^12,OFFSET(PLE!$G$15,$M23-$A$15,BE$13)))</f>
        <v>1000000000000</v>
      </c>
      <c r="BF23" s="173">
        <f ca="1">IF(OR($D23&lt;&gt;"Serviço",AND(AUTOEVENTO="Manual",$M23=$A$15),$M23&gt;(ROW(PLE.lastrow)-ROW(PLE.firstrow))),0,
           IF(OFFSET(PLE!$G$15,$M23-$A$15,BF$13)="",10^12,OFFSET(PLE!$G$15,$M23-$A$15,BF$13)))</f>
        <v>1000000000000</v>
      </c>
      <c r="BG23" s="173">
        <f ca="1">IF(OR($D23&lt;&gt;"Serviço",AND(AUTOEVENTO="Manual",$M23=$A$15),$M23&gt;(ROW(PLE.lastrow)-ROW(PLE.firstrow))),0,
           IF(OFFSET(PLE!$G$15,$M23-$A$15,BG$13)="",10^12,OFFSET(PLE!$G$15,$M23-$A$15,BG$13)))</f>
        <v>1000000000000</v>
      </c>
    </row>
    <row r="24" spans="1:59" s="662" customFormat="1" ht="51" x14ac:dyDescent="0.2">
      <c r="A24" s="660" t="str">
        <f ca="1">IF(AUTOEVENTO="Manual",IF(K24&lt;&gt;"",MIN(VALUE(LEFT(K24,FIND(".",K24)-1)),COUNTA(EVENTOS.Lista)),0),IF(OR($B24&gt;AUTOEVENTO,$B24="S",$B24=0),SUBSTITUTE(OFFSET($A24,-1,0),IF($D24="Serviço",".",""),""),ROW(A24)-ROW($A$15)&amp;"."))</f>
        <v>6</v>
      </c>
      <c r="B24" s="660" t="str">
        <f ca="1">OFFSET(ORÇAMENTO!C$15,ROW(B24)-ROW(B$15),0)</f>
        <v>S</v>
      </c>
      <c r="C24" s="660" t="str">
        <f ca="1">OFFSET(ORÇAMENTO!L$15,ROW(C24)-ROW(C$15),0)</f>
        <v/>
      </c>
      <c r="D24" s="117" t="str">
        <f ca="1">OFFSET(ORÇAMENTO!N$15,ROW(D24)-ROW(D$15),0)</f>
        <v>Serviço</v>
      </c>
      <c r="E24" s="118" t="str">
        <f ca="1">OFFSET(ORÇAMENTO!O$15,ROW(E24)-ROW(E$15),0)</f>
        <v>-</v>
      </c>
      <c r="F24" s="164" t="str">
        <f ca="1">OFFSET(ORÇAMENTO!R$15,ROW(F24)-ROW(F$15),0)</f>
        <v>(abra o arquivo 'Referência 03-2025.xlsm)</v>
      </c>
      <c r="G24" s="165" t="str">
        <f ca="1">IF($D24&lt;&gt;"Serviço","",OFFSET(ORÇAMENTO!S$15,ROW(G24)-ROW(G$15),0))</f>
        <v>-</v>
      </c>
      <c r="H24" s="123">
        <f ca="1">IF($D24&lt;&gt;"Serviço",0,IF(ACOMPANHAMENTO="BM",ROUND(OFFSET(ORÇAMENTO!AJ$15,ROW(H24)-ROW(H$15),0),15-13*ORÇAMENTO!$AF$7),SUMPRODUCT(($Q$1:$AA$1=1)*ROUND($Q24:$AA24,15-13*ORÇAMENTO!$AF$7))))</f>
        <v>100</v>
      </c>
      <c r="I24" s="469"/>
      <c r="J24" s="581" t="str" cm="1">
        <f t="array" aca="1" ref="J24" ca="1">IF(B24&lt;&gt;"S","",IF(AND(ACOMPANHAMENTO="PLE",AUTOEVENTO="Manual",OR(H24&gt;0,ORÇAMENTO!AC24="QUANT."),OR(K24="",M24=0,N24="")),"►",IF(AND(ACOMPANHAMENTO="PLE",ORÇAMENTO!AC24="QUANT."),"►►",IF(AND(COUNTIF($P$11:$AA$11,"▼")=0,H24&gt;0,I24=""),"◄",""))))</f>
        <v>◄</v>
      </c>
      <c r="K24" s="641"/>
      <c r="L24" s="166" t="s">
        <v>768</v>
      </c>
      <c r="M24" s="167">
        <f ca="1">IF($D24&lt;&gt;"Serviço","",
          IF(AUTOEVENTO="manual",$A24,
                IF(ISERROR(MATCH($A24,$A$15:OFFSET($A24,-1,0),0)),MAX($M$15:OFFSET(M24,-1,0))+1,
                      INDEX($M$15:OFFSET(M24,-1,0),MATCH($A24,$A$15:OFFSET($A24,-1,0),0)))))</f>
        <v>2</v>
      </c>
      <c r="N24" s="168" t="str">
        <f ca="1">IF($D24&lt;&gt;"Serviço","",
         IF(AUTOEVENTO="Manual",
                IF($A24=0,"&lt;-- defina o número do agrupador",
                       OFFSET(EVENTOS!$D$15,$A24-$A$15,0)),
                OFFSET($F$15,$A24,0)))</f>
        <v>ESTRUTURAS</v>
      </c>
      <c r="O24" s="169"/>
      <c r="Q24" s="169"/>
      <c r="R24" s="170"/>
      <c r="S24" s="170"/>
      <c r="T24" s="170"/>
      <c r="U24" s="170"/>
      <c r="V24" s="170"/>
      <c r="W24" s="170"/>
      <c r="X24" s="170"/>
      <c r="Y24" s="170"/>
      <c r="Z24" s="171"/>
      <c r="AB24" s="454">
        <f ca="1">IF(AND($D24="Serviço",AB$12&lt;&gt;0,$H24&gt;0,OR(AUTOEVENTO&lt;&gt;"manual",$M24&lt;&gt;$A$15)),
        IF(Import.TipoArredondamento&lt;&gt;"TransfereGOV",
              ROUND(OFFSET($P24,0,AB$13),15-13*ORÇAMENTO!$AF$7)/$H24*OFFSET(ORÇAMENTO!$X$15,ROW(AB24)-ROW(AB$15),0),
              ROUND(ROUND(OFFSET($P24,0,AB$13),15-13*ORÇAMENTO!$AF$7)*OFFSET(ORÇAMENTO!$W$15,ROW(AB24)-ROW(AB$15),0),15-13*ORÇAMENTO!$AF$11)),
         0)</f>
        <v>0</v>
      </c>
      <c r="AC24" s="454">
        <f ca="1">IF(AND($D24="Serviço",AC$12&lt;&gt;0,$H24&gt;0,OR(AUTOEVENTO&lt;&gt;"manual",$M24&lt;&gt;$A$15)),
        IF(Import.TipoArredondamento&lt;&gt;"TransfereGOV",
              ROUND(OFFSET($P24,0,AC$13),15-13*ORÇAMENTO!$AF$7)/$H24*OFFSET(ORÇAMENTO!$X$15,ROW(AC24)-ROW(AC$15),0),
              ROUND(ROUND(OFFSET($P24,0,AC$13),15-13*ORÇAMENTO!$AF$7)*OFFSET(ORÇAMENTO!$W$15,ROW(AC24)-ROW(AC$15),0),15-13*ORÇAMENTO!$AF$11)),
         0)</f>
        <v>0</v>
      </c>
      <c r="AD24" s="454">
        <f ca="1">IF(AND($D24="Serviço",AD$12&lt;&gt;0,$H24&gt;0,OR(AUTOEVENTO&lt;&gt;"manual",$M24&lt;&gt;$A$15)),
        IF(Import.TipoArredondamento&lt;&gt;"TransfereGOV",
              ROUND(OFFSET($P24,0,AD$13),15-13*ORÇAMENTO!$AF$7)/$H24*OFFSET(ORÇAMENTO!$X$15,ROW(AD24)-ROW(AD$15),0),
              ROUND(ROUND(OFFSET($P24,0,AD$13),15-13*ORÇAMENTO!$AF$7)*OFFSET(ORÇAMENTO!$W$15,ROW(AD24)-ROW(AD$15),0),15-13*ORÇAMENTO!$AF$11)),
         0)</f>
        <v>0</v>
      </c>
      <c r="AE24" s="454">
        <f ca="1">IF(AND($D24="Serviço",AE$12&lt;&gt;0,$H24&gt;0,OR(AUTOEVENTO&lt;&gt;"manual",$M24&lt;&gt;$A$15)),
        IF(Import.TipoArredondamento&lt;&gt;"TransfereGOV",
              ROUND(OFFSET($P24,0,AE$13),15-13*ORÇAMENTO!$AF$7)/$H24*OFFSET(ORÇAMENTO!$X$15,ROW(AE24)-ROW(AE$15),0),
              ROUND(ROUND(OFFSET($P24,0,AE$13),15-13*ORÇAMENTO!$AF$7)*OFFSET(ORÇAMENTO!$W$15,ROW(AE24)-ROW(AE$15),0),15-13*ORÇAMENTO!$AF$11)),
         0)</f>
        <v>0</v>
      </c>
      <c r="AF24" s="454">
        <f ca="1">IF(AND($D24="Serviço",AF$12&lt;&gt;0,$H24&gt;0,OR(AUTOEVENTO&lt;&gt;"manual",$M24&lt;&gt;$A$15)),
        IF(Import.TipoArredondamento&lt;&gt;"TransfereGOV",
              ROUND(OFFSET($P24,0,AF$13),15-13*ORÇAMENTO!$AF$7)/$H24*OFFSET(ORÇAMENTO!$X$15,ROW(AF24)-ROW(AF$15),0),
              ROUND(ROUND(OFFSET($P24,0,AF$13),15-13*ORÇAMENTO!$AF$7)*OFFSET(ORÇAMENTO!$W$15,ROW(AF24)-ROW(AF$15),0),15-13*ORÇAMENTO!$AF$11)),
         0)</f>
        <v>0</v>
      </c>
      <c r="AG24" s="454">
        <f ca="1">IF(AND($D24="Serviço",AG$12&lt;&gt;0,$H24&gt;0,OR(AUTOEVENTO&lt;&gt;"manual",$M24&lt;&gt;$A$15)),
        IF(Import.TipoArredondamento&lt;&gt;"TransfereGOV",
              ROUND(OFFSET($P24,0,AG$13),15-13*ORÇAMENTO!$AF$7)/$H24*OFFSET(ORÇAMENTO!$X$15,ROW(AG24)-ROW(AG$15),0),
              ROUND(ROUND(OFFSET($P24,0,AG$13),15-13*ORÇAMENTO!$AF$7)*OFFSET(ORÇAMENTO!$W$15,ROW(AG24)-ROW(AG$15),0),15-13*ORÇAMENTO!$AF$11)),
         0)</f>
        <v>0</v>
      </c>
      <c r="AH24" s="454">
        <f ca="1">IF(AND($D24="Serviço",AH$12&lt;&gt;0,$H24&gt;0,OR(AUTOEVENTO&lt;&gt;"manual",$M24&lt;&gt;$A$15)),
        IF(Import.TipoArredondamento&lt;&gt;"TransfereGOV",
              ROUND(OFFSET($P24,0,AH$13),15-13*ORÇAMENTO!$AF$7)/$H24*OFFSET(ORÇAMENTO!$X$15,ROW(AH24)-ROW(AH$15),0),
              ROUND(ROUND(OFFSET($P24,0,AH$13),15-13*ORÇAMENTO!$AF$7)*OFFSET(ORÇAMENTO!$W$15,ROW(AH24)-ROW(AH$15),0),15-13*ORÇAMENTO!$AF$11)),
         0)</f>
        <v>0</v>
      </c>
      <c r="AI24" s="454">
        <f ca="1">IF(AND($D24="Serviço",AI$12&lt;&gt;0,$H24&gt;0,OR(AUTOEVENTO&lt;&gt;"manual",$M24&lt;&gt;$A$15)),
        IF(Import.TipoArredondamento&lt;&gt;"TransfereGOV",
              ROUND(OFFSET($P24,0,AI$13),15-13*ORÇAMENTO!$AF$7)/$H24*OFFSET(ORÇAMENTO!$X$15,ROW(AI24)-ROW(AI$15),0),
              ROUND(ROUND(OFFSET($P24,0,AI$13),15-13*ORÇAMENTO!$AF$7)*OFFSET(ORÇAMENTO!$W$15,ROW(AI24)-ROW(AI$15),0),15-13*ORÇAMENTO!$AF$11)),
         0)</f>
        <v>0</v>
      </c>
      <c r="AJ24" s="454">
        <f ca="1">IF(AND($D24="Serviço",AJ$12&lt;&gt;0,$H24&gt;0,OR(AUTOEVENTO&lt;&gt;"manual",$M24&lt;&gt;$A$15)),
        IF(Import.TipoArredondamento&lt;&gt;"TransfereGOV",
              ROUND(OFFSET($P24,0,AJ$13),15-13*ORÇAMENTO!$AF$7)/$H24*OFFSET(ORÇAMENTO!$X$15,ROW(AJ24)-ROW(AJ$15),0),
              ROUND(ROUND(OFFSET($P24,0,AJ$13),15-13*ORÇAMENTO!$AF$7)*OFFSET(ORÇAMENTO!$W$15,ROW(AJ24)-ROW(AJ$15),0),15-13*ORÇAMENTO!$AF$11)),
         0)</f>
        <v>0</v>
      </c>
      <c r="AK24" s="454">
        <f ca="1">IF(AND($D24="Serviço",AK$12&lt;&gt;0,$H24&gt;0,OR(AUTOEVENTO&lt;&gt;"manual",$M24&lt;&gt;$A$15)),
        IF(Import.TipoArredondamento&lt;&gt;"TransfereGOV",
              ROUND(OFFSET($P24,0,AK$13),15-13*ORÇAMENTO!$AF$7)/$H24*OFFSET(ORÇAMENTO!$X$15,ROW(AK24)-ROW(AK$15),0),
              ROUND(ROUND(OFFSET($P24,0,AK$13),15-13*ORÇAMENTO!$AF$7)*OFFSET(ORÇAMENTO!$W$15,ROW(AK24)-ROW(AK$15),0),15-13*ORÇAMENTO!$AF$11)),
         0)</f>
        <v>0</v>
      </c>
      <c r="AM24" s="172">
        <f ca="1">IF(OR($D24&lt;&gt;"Serviço",AND(AUTOEVENTO="Manual",$M24=$A$15)),0,
         IF(OFFSET(CRONOPLE!$F$15,$M24-$A$15,AM$13)="",10^12,OFFSET(CRONOPLE!$F$15,$M24-$A$15,AM$13)))</f>
        <v>1000000000000</v>
      </c>
      <c r="AN24" s="172">
        <f ca="1">IF(OR($D24&lt;&gt;"Serviço",AND(AUTOEVENTO="Manual",$M24=$A$15)),0,
         IF(OFFSET(CRONOPLE!$F$15,$M24-$A$15,AN$13)="",10^12,OFFSET(CRONOPLE!$F$15,$M24-$A$15,AN$13)))</f>
        <v>1000000000000</v>
      </c>
      <c r="AO24" s="172">
        <f ca="1">IF(OR($D24&lt;&gt;"Serviço",AND(AUTOEVENTO="Manual",$M24=$A$15)),0,
         IF(OFFSET(CRONOPLE!$F$15,$M24-$A$15,AO$13)="",10^12,OFFSET(CRONOPLE!$F$15,$M24-$A$15,AO$13)))</f>
        <v>1000000000000</v>
      </c>
      <c r="AP24" s="172">
        <f ca="1">IF(OR($D24&lt;&gt;"Serviço",AND(AUTOEVENTO="Manual",$M24=$A$15)),0,
         IF(OFFSET(CRONOPLE!$F$15,$M24-$A$15,AP$13)="",10^12,OFFSET(CRONOPLE!$F$15,$M24-$A$15,AP$13)))</f>
        <v>1000000000000</v>
      </c>
      <c r="AQ24" s="172">
        <f ca="1">IF(OR($D24&lt;&gt;"Serviço",AND(AUTOEVENTO="Manual",$M24=$A$15)),0,
         IF(OFFSET(CRONOPLE!$F$15,$M24-$A$15,AQ$13)="",10^12,OFFSET(CRONOPLE!$F$15,$M24-$A$15,AQ$13)))</f>
        <v>1000000000000</v>
      </c>
      <c r="AR24" s="172">
        <f ca="1">IF(OR($D24&lt;&gt;"Serviço",AND(AUTOEVENTO="Manual",$M24=$A$15)),0,
         IF(OFFSET(CRONOPLE!$F$15,$M24-$A$15,AR$13)="",10^12,OFFSET(CRONOPLE!$F$15,$M24-$A$15,AR$13)))</f>
        <v>1000000000000</v>
      </c>
      <c r="AS24" s="172">
        <f ca="1">IF(OR($D24&lt;&gt;"Serviço",AND(AUTOEVENTO="Manual",$M24=$A$15)),0,
         IF(OFFSET(CRONOPLE!$F$15,$M24-$A$15,AS$13)="",10^12,OFFSET(CRONOPLE!$F$15,$M24-$A$15,AS$13)))</f>
        <v>1000000000000</v>
      </c>
      <c r="AT24" s="172">
        <f ca="1">IF(OR($D24&lt;&gt;"Serviço",AND(AUTOEVENTO="Manual",$M24=$A$15)),0,
         IF(OFFSET(CRONOPLE!$F$15,$M24-$A$15,AT$13)="",10^12,OFFSET(CRONOPLE!$F$15,$M24-$A$15,AT$13)))</f>
        <v>1000000000000</v>
      </c>
      <c r="AU24" s="172">
        <f ca="1">IF(OR($D24&lt;&gt;"Serviço",AND(AUTOEVENTO="Manual",$M24=$A$15)),0,
         IF(OFFSET(CRONOPLE!$F$15,$M24-$A$15,AU$13)="",10^12,OFFSET(CRONOPLE!$F$15,$M24-$A$15,AU$13)))</f>
        <v>1000000000000</v>
      </c>
      <c r="AV24" s="172">
        <f ca="1">IF(OR($D24&lt;&gt;"Serviço",AND(AUTOEVENTO="Manual",$M24=$A$15)),0,
         IF(OFFSET(CRONOPLE!$F$15,$M24-$A$15,AV$13)="",10^12,OFFSET(CRONOPLE!$F$15,$M24-$A$15,AV$13)))</f>
        <v>1000000000000</v>
      </c>
      <c r="AX24" s="173">
        <f ca="1">IF(OR($D24&lt;&gt;"Serviço",AND(AUTOEVENTO="Manual",$M24=$A$15),$M24&gt;(ROW(PLE.lastrow)-ROW(PLE.firstrow))),0,
           IF(OFFSET(PLE!$G$15,$M24-$A$15,AX$13)="",10^12,OFFSET(PLE!$G$15,$M24-$A$15,AX$13)))</f>
        <v>1000000000000</v>
      </c>
      <c r="AY24" s="173">
        <f ca="1">IF(OR($D24&lt;&gt;"Serviço",AND(AUTOEVENTO="Manual",$M24=$A$15),$M24&gt;(ROW(PLE.lastrow)-ROW(PLE.firstrow))),0,
           IF(OFFSET(PLE!$G$15,$M24-$A$15,AY$13)="",10^12,OFFSET(PLE!$G$15,$M24-$A$15,AY$13)))</f>
        <v>1000000000000</v>
      </c>
      <c r="AZ24" s="173">
        <f ca="1">IF(OR($D24&lt;&gt;"Serviço",AND(AUTOEVENTO="Manual",$M24=$A$15),$M24&gt;(ROW(PLE.lastrow)-ROW(PLE.firstrow))),0,
           IF(OFFSET(PLE!$G$15,$M24-$A$15,AZ$13)="",10^12,OFFSET(PLE!$G$15,$M24-$A$15,AZ$13)))</f>
        <v>1000000000000</v>
      </c>
      <c r="BA24" s="173">
        <f ca="1">IF(OR($D24&lt;&gt;"Serviço",AND(AUTOEVENTO="Manual",$M24=$A$15),$M24&gt;(ROW(PLE.lastrow)-ROW(PLE.firstrow))),0,
           IF(OFFSET(PLE!$G$15,$M24-$A$15,BA$13)="",10^12,OFFSET(PLE!$G$15,$M24-$A$15,BA$13)))</f>
        <v>1000000000000</v>
      </c>
      <c r="BB24" s="173">
        <f ca="1">IF(OR($D24&lt;&gt;"Serviço",AND(AUTOEVENTO="Manual",$M24=$A$15),$M24&gt;(ROW(PLE.lastrow)-ROW(PLE.firstrow))),0,
           IF(OFFSET(PLE!$G$15,$M24-$A$15,BB$13)="",10^12,OFFSET(PLE!$G$15,$M24-$A$15,BB$13)))</f>
        <v>1000000000000</v>
      </c>
      <c r="BC24" s="173">
        <f ca="1">IF(OR($D24&lt;&gt;"Serviço",AND(AUTOEVENTO="Manual",$M24=$A$15),$M24&gt;(ROW(PLE.lastrow)-ROW(PLE.firstrow))),0,
           IF(OFFSET(PLE!$G$15,$M24-$A$15,BC$13)="",10^12,OFFSET(PLE!$G$15,$M24-$A$15,BC$13)))</f>
        <v>1000000000000</v>
      </c>
      <c r="BD24" s="173">
        <f ca="1">IF(OR($D24&lt;&gt;"Serviço",AND(AUTOEVENTO="Manual",$M24=$A$15),$M24&gt;(ROW(PLE.lastrow)-ROW(PLE.firstrow))),0,
           IF(OFFSET(PLE!$G$15,$M24-$A$15,BD$13)="",10^12,OFFSET(PLE!$G$15,$M24-$A$15,BD$13)))</f>
        <v>1000000000000</v>
      </c>
      <c r="BE24" s="173">
        <f ca="1">IF(OR($D24&lt;&gt;"Serviço",AND(AUTOEVENTO="Manual",$M24=$A$15),$M24&gt;(ROW(PLE.lastrow)-ROW(PLE.firstrow))),0,
           IF(OFFSET(PLE!$G$15,$M24-$A$15,BE$13)="",10^12,OFFSET(PLE!$G$15,$M24-$A$15,BE$13)))</f>
        <v>1000000000000</v>
      </c>
      <c r="BF24" s="173">
        <f ca="1">IF(OR($D24&lt;&gt;"Serviço",AND(AUTOEVENTO="Manual",$M24=$A$15),$M24&gt;(ROW(PLE.lastrow)-ROW(PLE.firstrow))),0,
           IF(OFFSET(PLE!$G$15,$M24-$A$15,BF$13)="",10^12,OFFSET(PLE!$G$15,$M24-$A$15,BF$13)))</f>
        <v>1000000000000</v>
      </c>
      <c r="BG24" s="173">
        <f ca="1">IF(OR($D24&lt;&gt;"Serviço",AND(AUTOEVENTO="Manual",$M24=$A$15),$M24&gt;(ROW(PLE.lastrow)-ROW(PLE.firstrow))),0,
           IF(OFFSET(PLE!$G$15,$M24-$A$15,BG$13)="",10^12,OFFSET(PLE!$G$15,$M24-$A$15,BG$13)))</f>
        <v>1000000000000</v>
      </c>
    </row>
    <row r="25" spans="1:59" s="662" customFormat="1" ht="12.75" x14ac:dyDescent="0.2">
      <c r="A25" s="660" t="str">
        <f t="shared" ca="1" si="8"/>
        <v>10.</v>
      </c>
      <c r="B25" s="660">
        <f ca="1">OFFSET(ORÇAMENTO!C$15,ROW(B25)-ROW(B$15),0)</f>
        <v>2</v>
      </c>
      <c r="C25" s="660" t="str">
        <f ca="1">OFFSET(ORÇAMENTO!L$15,ROW(C25)-ROW(C$15),0)</f>
        <v>F</v>
      </c>
      <c r="D25" s="117" t="str">
        <f ca="1">OFFSET(ORÇAMENTO!N$15,ROW(D25)-ROW(D$15),0)</f>
        <v>Nível 2</v>
      </c>
      <c r="E25" s="118" t="str">
        <f ca="1">OFFSET(ORÇAMENTO!O$15,ROW(E25)-ROW(E$15),0)</f>
        <v>1.3.</v>
      </c>
      <c r="F25" s="164" t="str">
        <f ca="1">OFFSET(ORÇAMENTO!R$15,ROW(F25)-ROW(F$15),0)</f>
        <v>COBERTURA</v>
      </c>
      <c r="G25" s="165" t="str">
        <f ca="1">IF($D25&lt;&gt;"Serviço","",OFFSET(ORÇAMENTO!S$15,ROW(G25)-ROW(G$15),0))</f>
        <v/>
      </c>
      <c r="H25" s="123">
        <f ca="1">IF($D25&lt;&gt;"Serviço",0,IF(ACOMPANHAMENTO="BM",ROUND(OFFSET(ORÇAMENTO!AJ$15,ROW(H25)-ROW(H$15),0),15-13*ORÇAMENTO!$AF$7),SUMPRODUCT(($Q$1:$AA$1=1)*ROUND($Q25:$AA25,15-13*ORÇAMENTO!$AF$7))))</f>
        <v>0</v>
      </c>
      <c r="I25" s="469"/>
      <c r="J25" s="581" t="str" cm="1">
        <f t="array" aca="1" ref="J25" ca="1">IF(B25&lt;&gt;"S","",IF(AND(ACOMPANHAMENTO="PLE",AUTOEVENTO="Manual",OR(H25&gt;0,ORÇAMENTO!AC25="QUANT."),OR(K25="",M25=0,N25="")),"►",IF(AND(ACOMPANHAMENTO="PLE",ORÇAMENTO!AC25="QUANT."),"►►",IF(AND(COUNTIF($P$11:$AA$11,"▼")=0,H25&gt;0,I25=""),"◄",""))))</f>
        <v/>
      </c>
      <c r="K25" s="641"/>
      <c r="L25" s="166" t="s">
        <v>768</v>
      </c>
      <c r="M25" s="167" t="str">
        <f ca="1">IF($D25&lt;&gt;"Serviço","",
          IF(AUTOEVENTO="manual",$A25,
                IF(ISERROR(MATCH($A25,$A$15:OFFSET($A25,-1,0),0)),MAX($M$15:OFFSET(M25,-1,0))+1,
                      INDEX($M$15:OFFSET(M25,-1,0),MATCH($A25,$A$15:OFFSET($A25,-1,0),0)))))</f>
        <v/>
      </c>
      <c r="N25" s="168" t="str">
        <f ca="1">IF($D25&lt;&gt;"Serviço","",
         IF(AUTOEVENTO="Manual",
                IF($A25=0,"&lt;-- defina o número do agrupador",
                       OFFSET(EVENTOS!$D$15,$A25-$A$15,0)),
                OFFSET($F$15,$A25,0)))</f>
        <v/>
      </c>
      <c r="O25" s="169"/>
      <c r="Q25" s="169"/>
      <c r="R25" s="170"/>
      <c r="S25" s="170"/>
      <c r="T25" s="170"/>
      <c r="U25" s="170"/>
      <c r="V25" s="170"/>
      <c r="W25" s="170"/>
      <c r="X25" s="170"/>
      <c r="Y25" s="170"/>
      <c r="Z25" s="171"/>
      <c r="AB25" s="454">
        <f ca="1">IF(AND($D25="Serviço",AB$12&lt;&gt;0,$H25&gt;0,OR(AUTOEVENTO&lt;&gt;"manual",$M25&lt;&gt;$A$15)),
        IF(Import.TipoArredondamento&lt;&gt;"TransfereGOV",
              ROUND(OFFSET($P25,0,AB$13),15-13*ORÇAMENTO!$AF$7)/$H25*OFFSET(ORÇAMENTO!$X$15,ROW(AB25)-ROW(AB$15),0),
              ROUND(ROUND(OFFSET($P25,0,AB$13),15-13*ORÇAMENTO!$AF$7)*OFFSET(ORÇAMENTO!$W$15,ROW(AB25)-ROW(AB$15),0),15-13*ORÇAMENTO!$AF$11)),
         0)</f>
        <v>0</v>
      </c>
      <c r="AC25" s="454">
        <f ca="1">IF(AND($D25="Serviço",AC$12&lt;&gt;0,$H25&gt;0,OR(AUTOEVENTO&lt;&gt;"manual",$M25&lt;&gt;$A$15)),
        IF(Import.TipoArredondamento&lt;&gt;"TransfereGOV",
              ROUND(OFFSET($P25,0,AC$13),15-13*ORÇAMENTO!$AF$7)/$H25*OFFSET(ORÇAMENTO!$X$15,ROW(AC25)-ROW(AC$15),0),
              ROUND(ROUND(OFFSET($P25,0,AC$13),15-13*ORÇAMENTO!$AF$7)*OFFSET(ORÇAMENTO!$W$15,ROW(AC25)-ROW(AC$15),0),15-13*ORÇAMENTO!$AF$11)),
         0)</f>
        <v>0</v>
      </c>
      <c r="AD25" s="454">
        <f ca="1">IF(AND($D25="Serviço",AD$12&lt;&gt;0,$H25&gt;0,OR(AUTOEVENTO&lt;&gt;"manual",$M25&lt;&gt;$A$15)),
        IF(Import.TipoArredondamento&lt;&gt;"TransfereGOV",
              ROUND(OFFSET($P25,0,AD$13),15-13*ORÇAMENTO!$AF$7)/$H25*OFFSET(ORÇAMENTO!$X$15,ROW(AD25)-ROW(AD$15),0),
              ROUND(ROUND(OFFSET($P25,0,AD$13),15-13*ORÇAMENTO!$AF$7)*OFFSET(ORÇAMENTO!$W$15,ROW(AD25)-ROW(AD$15),0),15-13*ORÇAMENTO!$AF$11)),
         0)</f>
        <v>0</v>
      </c>
      <c r="AE25" s="454">
        <f ca="1">IF(AND($D25="Serviço",AE$12&lt;&gt;0,$H25&gt;0,OR(AUTOEVENTO&lt;&gt;"manual",$M25&lt;&gt;$A$15)),
        IF(Import.TipoArredondamento&lt;&gt;"TransfereGOV",
              ROUND(OFFSET($P25,0,AE$13),15-13*ORÇAMENTO!$AF$7)/$H25*OFFSET(ORÇAMENTO!$X$15,ROW(AE25)-ROW(AE$15),0),
              ROUND(ROUND(OFFSET($P25,0,AE$13),15-13*ORÇAMENTO!$AF$7)*OFFSET(ORÇAMENTO!$W$15,ROW(AE25)-ROW(AE$15),0),15-13*ORÇAMENTO!$AF$11)),
         0)</f>
        <v>0</v>
      </c>
      <c r="AF25" s="454">
        <f ca="1">IF(AND($D25="Serviço",AF$12&lt;&gt;0,$H25&gt;0,OR(AUTOEVENTO&lt;&gt;"manual",$M25&lt;&gt;$A$15)),
        IF(Import.TipoArredondamento&lt;&gt;"TransfereGOV",
              ROUND(OFFSET($P25,0,AF$13),15-13*ORÇAMENTO!$AF$7)/$H25*OFFSET(ORÇAMENTO!$X$15,ROW(AF25)-ROW(AF$15),0),
              ROUND(ROUND(OFFSET($P25,0,AF$13),15-13*ORÇAMENTO!$AF$7)*OFFSET(ORÇAMENTO!$W$15,ROW(AF25)-ROW(AF$15),0),15-13*ORÇAMENTO!$AF$11)),
         0)</f>
        <v>0</v>
      </c>
      <c r="AG25" s="454">
        <f ca="1">IF(AND($D25="Serviço",AG$12&lt;&gt;0,$H25&gt;0,OR(AUTOEVENTO&lt;&gt;"manual",$M25&lt;&gt;$A$15)),
        IF(Import.TipoArredondamento&lt;&gt;"TransfereGOV",
              ROUND(OFFSET($P25,0,AG$13),15-13*ORÇAMENTO!$AF$7)/$H25*OFFSET(ORÇAMENTO!$X$15,ROW(AG25)-ROW(AG$15),0),
              ROUND(ROUND(OFFSET($P25,0,AG$13),15-13*ORÇAMENTO!$AF$7)*OFFSET(ORÇAMENTO!$W$15,ROW(AG25)-ROW(AG$15),0),15-13*ORÇAMENTO!$AF$11)),
         0)</f>
        <v>0</v>
      </c>
      <c r="AH25" s="454">
        <f ca="1">IF(AND($D25="Serviço",AH$12&lt;&gt;0,$H25&gt;0,OR(AUTOEVENTO&lt;&gt;"manual",$M25&lt;&gt;$A$15)),
        IF(Import.TipoArredondamento&lt;&gt;"TransfereGOV",
              ROUND(OFFSET($P25,0,AH$13),15-13*ORÇAMENTO!$AF$7)/$H25*OFFSET(ORÇAMENTO!$X$15,ROW(AH25)-ROW(AH$15),0),
              ROUND(ROUND(OFFSET($P25,0,AH$13),15-13*ORÇAMENTO!$AF$7)*OFFSET(ORÇAMENTO!$W$15,ROW(AH25)-ROW(AH$15),0),15-13*ORÇAMENTO!$AF$11)),
         0)</f>
        <v>0</v>
      </c>
      <c r="AI25" s="454">
        <f ca="1">IF(AND($D25="Serviço",AI$12&lt;&gt;0,$H25&gt;0,OR(AUTOEVENTO&lt;&gt;"manual",$M25&lt;&gt;$A$15)),
        IF(Import.TipoArredondamento&lt;&gt;"TransfereGOV",
              ROUND(OFFSET($P25,0,AI$13),15-13*ORÇAMENTO!$AF$7)/$H25*OFFSET(ORÇAMENTO!$X$15,ROW(AI25)-ROW(AI$15),0),
              ROUND(ROUND(OFFSET($P25,0,AI$13),15-13*ORÇAMENTO!$AF$7)*OFFSET(ORÇAMENTO!$W$15,ROW(AI25)-ROW(AI$15),0),15-13*ORÇAMENTO!$AF$11)),
         0)</f>
        <v>0</v>
      </c>
      <c r="AJ25" s="454">
        <f ca="1">IF(AND($D25="Serviço",AJ$12&lt;&gt;0,$H25&gt;0,OR(AUTOEVENTO&lt;&gt;"manual",$M25&lt;&gt;$A$15)),
        IF(Import.TipoArredondamento&lt;&gt;"TransfereGOV",
              ROUND(OFFSET($P25,0,AJ$13),15-13*ORÇAMENTO!$AF$7)/$H25*OFFSET(ORÇAMENTO!$X$15,ROW(AJ25)-ROW(AJ$15),0),
              ROUND(ROUND(OFFSET($P25,0,AJ$13),15-13*ORÇAMENTO!$AF$7)*OFFSET(ORÇAMENTO!$W$15,ROW(AJ25)-ROW(AJ$15),0),15-13*ORÇAMENTO!$AF$11)),
         0)</f>
        <v>0</v>
      </c>
      <c r="AK25" s="454">
        <f ca="1">IF(AND($D25="Serviço",AK$12&lt;&gt;0,$H25&gt;0,OR(AUTOEVENTO&lt;&gt;"manual",$M25&lt;&gt;$A$15)),
        IF(Import.TipoArredondamento&lt;&gt;"TransfereGOV",
              ROUND(OFFSET($P25,0,AK$13),15-13*ORÇAMENTO!$AF$7)/$H25*OFFSET(ORÇAMENTO!$X$15,ROW(AK25)-ROW(AK$15),0),
              ROUND(ROUND(OFFSET($P25,0,AK$13),15-13*ORÇAMENTO!$AF$7)*OFFSET(ORÇAMENTO!$W$15,ROW(AK25)-ROW(AK$15),0),15-13*ORÇAMENTO!$AF$11)),
         0)</f>
        <v>0</v>
      </c>
      <c r="AM25" s="172">
        <f ca="1">IF(OR($D25&lt;&gt;"Serviço",AND(AUTOEVENTO="Manual",$M25=$A$15)),0,
         IF(OFFSET(CRONOPLE!$F$15,$M25-$A$15,AM$13)="",10^12,OFFSET(CRONOPLE!$F$15,$M25-$A$15,AM$13)))</f>
        <v>0</v>
      </c>
      <c r="AN25" s="172">
        <f ca="1">IF(OR($D25&lt;&gt;"Serviço",AND(AUTOEVENTO="Manual",$M25=$A$15)),0,
         IF(OFFSET(CRONOPLE!$F$15,$M25-$A$15,AN$13)="",10^12,OFFSET(CRONOPLE!$F$15,$M25-$A$15,AN$13)))</f>
        <v>0</v>
      </c>
      <c r="AO25" s="172">
        <f ca="1">IF(OR($D25&lt;&gt;"Serviço",AND(AUTOEVENTO="Manual",$M25=$A$15)),0,
         IF(OFFSET(CRONOPLE!$F$15,$M25-$A$15,AO$13)="",10^12,OFFSET(CRONOPLE!$F$15,$M25-$A$15,AO$13)))</f>
        <v>0</v>
      </c>
      <c r="AP25" s="172">
        <f ca="1">IF(OR($D25&lt;&gt;"Serviço",AND(AUTOEVENTO="Manual",$M25=$A$15)),0,
         IF(OFFSET(CRONOPLE!$F$15,$M25-$A$15,AP$13)="",10^12,OFFSET(CRONOPLE!$F$15,$M25-$A$15,AP$13)))</f>
        <v>0</v>
      </c>
      <c r="AQ25" s="172">
        <f ca="1">IF(OR($D25&lt;&gt;"Serviço",AND(AUTOEVENTO="Manual",$M25=$A$15)),0,
         IF(OFFSET(CRONOPLE!$F$15,$M25-$A$15,AQ$13)="",10^12,OFFSET(CRONOPLE!$F$15,$M25-$A$15,AQ$13)))</f>
        <v>0</v>
      </c>
      <c r="AR25" s="172">
        <f ca="1">IF(OR($D25&lt;&gt;"Serviço",AND(AUTOEVENTO="Manual",$M25=$A$15)),0,
         IF(OFFSET(CRONOPLE!$F$15,$M25-$A$15,AR$13)="",10^12,OFFSET(CRONOPLE!$F$15,$M25-$A$15,AR$13)))</f>
        <v>0</v>
      </c>
      <c r="AS25" s="172">
        <f ca="1">IF(OR($D25&lt;&gt;"Serviço",AND(AUTOEVENTO="Manual",$M25=$A$15)),0,
         IF(OFFSET(CRONOPLE!$F$15,$M25-$A$15,AS$13)="",10^12,OFFSET(CRONOPLE!$F$15,$M25-$A$15,AS$13)))</f>
        <v>0</v>
      </c>
      <c r="AT25" s="172">
        <f ca="1">IF(OR($D25&lt;&gt;"Serviço",AND(AUTOEVENTO="Manual",$M25=$A$15)),0,
         IF(OFFSET(CRONOPLE!$F$15,$M25-$A$15,AT$13)="",10^12,OFFSET(CRONOPLE!$F$15,$M25-$A$15,AT$13)))</f>
        <v>0</v>
      </c>
      <c r="AU25" s="172">
        <f ca="1">IF(OR($D25&lt;&gt;"Serviço",AND(AUTOEVENTO="Manual",$M25=$A$15)),0,
         IF(OFFSET(CRONOPLE!$F$15,$M25-$A$15,AU$13)="",10^12,OFFSET(CRONOPLE!$F$15,$M25-$A$15,AU$13)))</f>
        <v>0</v>
      </c>
      <c r="AV25" s="172">
        <f ca="1">IF(OR($D25&lt;&gt;"Serviço",AND(AUTOEVENTO="Manual",$M25=$A$15)),0,
         IF(OFFSET(CRONOPLE!$F$15,$M25-$A$15,AV$13)="",10^12,OFFSET(CRONOPLE!$F$15,$M25-$A$15,AV$13)))</f>
        <v>0</v>
      </c>
      <c r="AX25" s="173">
        <f ca="1">IF(OR($D25&lt;&gt;"Serviço",AND(AUTOEVENTO="Manual",$M25=$A$15),$M25&gt;(ROW(PLE.lastrow)-ROW(PLE.firstrow))),0,
           IF(OFFSET(PLE!$G$15,$M25-$A$15,AX$13)="",10^12,OFFSET(PLE!$G$15,$M25-$A$15,AX$13)))</f>
        <v>0</v>
      </c>
      <c r="AY25" s="173">
        <f ca="1">IF(OR($D25&lt;&gt;"Serviço",AND(AUTOEVENTO="Manual",$M25=$A$15),$M25&gt;(ROW(PLE.lastrow)-ROW(PLE.firstrow))),0,
           IF(OFFSET(PLE!$G$15,$M25-$A$15,AY$13)="",10^12,OFFSET(PLE!$G$15,$M25-$A$15,AY$13)))</f>
        <v>0</v>
      </c>
      <c r="AZ25" s="173">
        <f ca="1">IF(OR($D25&lt;&gt;"Serviço",AND(AUTOEVENTO="Manual",$M25=$A$15),$M25&gt;(ROW(PLE.lastrow)-ROW(PLE.firstrow))),0,
           IF(OFFSET(PLE!$G$15,$M25-$A$15,AZ$13)="",10^12,OFFSET(PLE!$G$15,$M25-$A$15,AZ$13)))</f>
        <v>0</v>
      </c>
      <c r="BA25" s="173">
        <f ca="1">IF(OR($D25&lt;&gt;"Serviço",AND(AUTOEVENTO="Manual",$M25=$A$15),$M25&gt;(ROW(PLE.lastrow)-ROW(PLE.firstrow))),0,
           IF(OFFSET(PLE!$G$15,$M25-$A$15,BA$13)="",10^12,OFFSET(PLE!$G$15,$M25-$A$15,BA$13)))</f>
        <v>0</v>
      </c>
      <c r="BB25" s="173">
        <f ca="1">IF(OR($D25&lt;&gt;"Serviço",AND(AUTOEVENTO="Manual",$M25=$A$15),$M25&gt;(ROW(PLE.lastrow)-ROW(PLE.firstrow))),0,
           IF(OFFSET(PLE!$G$15,$M25-$A$15,BB$13)="",10^12,OFFSET(PLE!$G$15,$M25-$A$15,BB$13)))</f>
        <v>0</v>
      </c>
      <c r="BC25" s="173">
        <f ca="1">IF(OR($D25&lt;&gt;"Serviço",AND(AUTOEVENTO="Manual",$M25=$A$15),$M25&gt;(ROW(PLE.lastrow)-ROW(PLE.firstrow))),0,
           IF(OFFSET(PLE!$G$15,$M25-$A$15,BC$13)="",10^12,OFFSET(PLE!$G$15,$M25-$A$15,BC$13)))</f>
        <v>0</v>
      </c>
      <c r="BD25" s="173">
        <f ca="1">IF(OR($D25&lt;&gt;"Serviço",AND(AUTOEVENTO="Manual",$M25=$A$15),$M25&gt;(ROW(PLE.lastrow)-ROW(PLE.firstrow))),0,
           IF(OFFSET(PLE!$G$15,$M25-$A$15,BD$13)="",10^12,OFFSET(PLE!$G$15,$M25-$A$15,BD$13)))</f>
        <v>0</v>
      </c>
      <c r="BE25" s="173">
        <f ca="1">IF(OR($D25&lt;&gt;"Serviço",AND(AUTOEVENTO="Manual",$M25=$A$15),$M25&gt;(ROW(PLE.lastrow)-ROW(PLE.firstrow))),0,
           IF(OFFSET(PLE!$G$15,$M25-$A$15,BE$13)="",10^12,OFFSET(PLE!$G$15,$M25-$A$15,BE$13)))</f>
        <v>0</v>
      </c>
      <c r="BF25" s="173">
        <f ca="1">IF(OR($D25&lt;&gt;"Serviço",AND(AUTOEVENTO="Manual",$M25=$A$15),$M25&gt;(ROW(PLE.lastrow)-ROW(PLE.firstrow))),0,
           IF(OFFSET(PLE!$G$15,$M25-$A$15,BF$13)="",10^12,OFFSET(PLE!$G$15,$M25-$A$15,BF$13)))</f>
        <v>0</v>
      </c>
      <c r="BG25" s="173">
        <f ca="1">IF(OR($D25&lt;&gt;"Serviço",AND(AUTOEVENTO="Manual",$M25=$A$15),$M25&gt;(ROW(PLE.lastrow)-ROW(PLE.firstrow))),0,
           IF(OFFSET(PLE!$G$15,$M25-$A$15,BG$13)="",10^12,OFFSET(PLE!$G$15,$M25-$A$15,BG$13)))</f>
        <v>0</v>
      </c>
    </row>
    <row r="26" spans="1:59" s="662" customFormat="1" ht="25.5" x14ac:dyDescent="0.2">
      <c r="A26" s="660" t="str">
        <f t="shared" ca="1" si="8"/>
        <v>10</v>
      </c>
      <c r="B26" s="660" t="str">
        <f ca="1">OFFSET(ORÇAMENTO!C$15,ROW(B26)-ROW(B$15),0)</f>
        <v>S</v>
      </c>
      <c r="C26" s="660" t="str">
        <f ca="1">OFFSET(ORÇAMENTO!L$15,ROW(C26)-ROW(C$15),0)</f>
        <v/>
      </c>
      <c r="D26" s="117" t="str">
        <f ca="1">OFFSET(ORÇAMENTO!N$15,ROW(D26)-ROW(D$15),0)</f>
        <v>Serviço</v>
      </c>
      <c r="E26" s="118" t="str">
        <f ca="1">OFFSET(ORÇAMENTO!O$15,ROW(E26)-ROW(E$15),0)</f>
        <v>-</v>
      </c>
      <c r="F26" s="164" t="str">
        <f ca="1">OFFSET(ORÇAMENTO!R$15,ROW(F26)-ROW(F$15),0)</f>
        <v>(abra o arquivo 'Referência 03-2025.xlsm)</v>
      </c>
      <c r="G26" s="165" t="str">
        <f ca="1">IF($D26&lt;&gt;"Serviço","",OFFSET(ORÇAMENTO!S$15,ROW(G26)-ROW(G$15),0))</f>
        <v>-</v>
      </c>
      <c r="H26" s="123">
        <f ca="1">IF($D26&lt;&gt;"Serviço",0,IF(ACOMPANHAMENTO="BM",ROUND(OFFSET(ORÇAMENTO!AJ$15,ROW(H26)-ROW(H$15),0),15-13*ORÇAMENTO!$AF$7),SUMPRODUCT(($Q$1:$AA$1=1)*ROUND($Q26:$AA26,15-13*ORÇAMENTO!$AF$7))))</f>
        <v>100</v>
      </c>
      <c r="I26" s="469"/>
      <c r="J26" s="581" t="str" cm="1">
        <f t="array" aca="1" ref="J26" ca="1">IF(B26&lt;&gt;"S","",IF(AND(ACOMPANHAMENTO="PLE",AUTOEVENTO="Manual",OR(H26&gt;0,ORÇAMENTO!AC26="QUANT."),OR(K26="",M26=0,N26="")),"►",IF(AND(ACOMPANHAMENTO="PLE",ORÇAMENTO!AC26="QUANT."),"►►",IF(AND(COUNTIF($P$11:$AA$11,"▼")=0,H26&gt;0,I26=""),"◄",""))))</f>
        <v>◄</v>
      </c>
      <c r="K26" s="641"/>
      <c r="L26" s="166" t="s">
        <v>768</v>
      </c>
      <c r="M26" s="167">
        <f ca="1">IF($D26&lt;&gt;"Serviço","",
          IF(AUTOEVENTO="manual",$A26,
                IF(ISERROR(MATCH($A26,$A$15:OFFSET($A26,-1,0),0)),MAX($M$15:OFFSET(M26,-1,0))+1,
                      INDEX($M$15:OFFSET(M26,-1,0),MATCH($A26,$A$15:OFFSET($A26,-1,0),0)))))</f>
        <v>3</v>
      </c>
      <c r="N26" s="168" t="str">
        <f ca="1">IF($D26&lt;&gt;"Serviço","",
         IF(AUTOEVENTO="Manual",
                IF($A26=0,"&lt;-- defina o número do agrupador",
                       OFFSET(EVENTOS!$D$15,$A26-$A$15,0)),
                OFFSET($F$15,$A26,0)))</f>
        <v>COBERTURA</v>
      </c>
      <c r="O26" s="169"/>
      <c r="Q26" s="169"/>
      <c r="R26" s="170"/>
      <c r="S26" s="170"/>
      <c r="T26" s="170"/>
      <c r="U26" s="170"/>
      <c r="V26" s="170"/>
      <c r="W26" s="170"/>
      <c r="X26" s="170"/>
      <c r="Y26" s="170"/>
      <c r="Z26" s="171"/>
      <c r="AB26" s="454">
        <f ca="1">IF(AND($D26="Serviço",AB$12&lt;&gt;0,$H26&gt;0,OR(AUTOEVENTO&lt;&gt;"manual",$M26&lt;&gt;$A$15)),
        IF(Import.TipoArredondamento&lt;&gt;"TransfereGOV",
              ROUND(OFFSET($P26,0,AB$13),15-13*ORÇAMENTO!$AF$7)/$H26*OFFSET(ORÇAMENTO!$X$15,ROW(AB26)-ROW(AB$15),0),
              ROUND(ROUND(OFFSET($P26,0,AB$13),15-13*ORÇAMENTO!$AF$7)*OFFSET(ORÇAMENTO!$W$15,ROW(AB26)-ROW(AB$15),0),15-13*ORÇAMENTO!$AF$11)),
         0)</f>
        <v>0</v>
      </c>
      <c r="AC26" s="454">
        <f ca="1">IF(AND($D26="Serviço",AC$12&lt;&gt;0,$H26&gt;0,OR(AUTOEVENTO&lt;&gt;"manual",$M26&lt;&gt;$A$15)),
        IF(Import.TipoArredondamento&lt;&gt;"TransfereGOV",
              ROUND(OFFSET($P26,0,AC$13),15-13*ORÇAMENTO!$AF$7)/$H26*OFFSET(ORÇAMENTO!$X$15,ROW(AC26)-ROW(AC$15),0),
              ROUND(ROUND(OFFSET($P26,0,AC$13),15-13*ORÇAMENTO!$AF$7)*OFFSET(ORÇAMENTO!$W$15,ROW(AC26)-ROW(AC$15),0),15-13*ORÇAMENTO!$AF$11)),
         0)</f>
        <v>0</v>
      </c>
      <c r="AD26" s="454">
        <f ca="1">IF(AND($D26="Serviço",AD$12&lt;&gt;0,$H26&gt;0,OR(AUTOEVENTO&lt;&gt;"manual",$M26&lt;&gt;$A$15)),
        IF(Import.TipoArredondamento&lt;&gt;"TransfereGOV",
              ROUND(OFFSET($P26,0,AD$13),15-13*ORÇAMENTO!$AF$7)/$H26*OFFSET(ORÇAMENTO!$X$15,ROW(AD26)-ROW(AD$15),0),
              ROUND(ROUND(OFFSET($P26,0,AD$13),15-13*ORÇAMENTO!$AF$7)*OFFSET(ORÇAMENTO!$W$15,ROW(AD26)-ROW(AD$15),0),15-13*ORÇAMENTO!$AF$11)),
         0)</f>
        <v>0</v>
      </c>
      <c r="AE26" s="454">
        <f ca="1">IF(AND($D26="Serviço",AE$12&lt;&gt;0,$H26&gt;0,OR(AUTOEVENTO&lt;&gt;"manual",$M26&lt;&gt;$A$15)),
        IF(Import.TipoArredondamento&lt;&gt;"TransfereGOV",
              ROUND(OFFSET($P26,0,AE$13),15-13*ORÇAMENTO!$AF$7)/$H26*OFFSET(ORÇAMENTO!$X$15,ROW(AE26)-ROW(AE$15),0),
              ROUND(ROUND(OFFSET($P26,0,AE$13),15-13*ORÇAMENTO!$AF$7)*OFFSET(ORÇAMENTO!$W$15,ROW(AE26)-ROW(AE$15),0),15-13*ORÇAMENTO!$AF$11)),
         0)</f>
        <v>0</v>
      </c>
      <c r="AF26" s="454">
        <f ca="1">IF(AND($D26="Serviço",AF$12&lt;&gt;0,$H26&gt;0,OR(AUTOEVENTO&lt;&gt;"manual",$M26&lt;&gt;$A$15)),
        IF(Import.TipoArredondamento&lt;&gt;"TransfereGOV",
              ROUND(OFFSET($P26,0,AF$13),15-13*ORÇAMENTO!$AF$7)/$H26*OFFSET(ORÇAMENTO!$X$15,ROW(AF26)-ROW(AF$15),0),
              ROUND(ROUND(OFFSET($P26,0,AF$13),15-13*ORÇAMENTO!$AF$7)*OFFSET(ORÇAMENTO!$W$15,ROW(AF26)-ROW(AF$15),0),15-13*ORÇAMENTO!$AF$11)),
         0)</f>
        <v>0</v>
      </c>
      <c r="AG26" s="454">
        <f ca="1">IF(AND($D26="Serviço",AG$12&lt;&gt;0,$H26&gt;0,OR(AUTOEVENTO&lt;&gt;"manual",$M26&lt;&gt;$A$15)),
        IF(Import.TipoArredondamento&lt;&gt;"TransfereGOV",
              ROUND(OFFSET($P26,0,AG$13),15-13*ORÇAMENTO!$AF$7)/$H26*OFFSET(ORÇAMENTO!$X$15,ROW(AG26)-ROW(AG$15),0),
              ROUND(ROUND(OFFSET($P26,0,AG$13),15-13*ORÇAMENTO!$AF$7)*OFFSET(ORÇAMENTO!$W$15,ROW(AG26)-ROW(AG$15),0),15-13*ORÇAMENTO!$AF$11)),
         0)</f>
        <v>0</v>
      </c>
      <c r="AH26" s="454">
        <f ca="1">IF(AND($D26="Serviço",AH$12&lt;&gt;0,$H26&gt;0,OR(AUTOEVENTO&lt;&gt;"manual",$M26&lt;&gt;$A$15)),
        IF(Import.TipoArredondamento&lt;&gt;"TransfereGOV",
              ROUND(OFFSET($P26,0,AH$13),15-13*ORÇAMENTO!$AF$7)/$H26*OFFSET(ORÇAMENTO!$X$15,ROW(AH26)-ROW(AH$15),0),
              ROUND(ROUND(OFFSET($P26,0,AH$13),15-13*ORÇAMENTO!$AF$7)*OFFSET(ORÇAMENTO!$W$15,ROW(AH26)-ROW(AH$15),0),15-13*ORÇAMENTO!$AF$11)),
         0)</f>
        <v>0</v>
      </c>
      <c r="AI26" s="454">
        <f ca="1">IF(AND($D26="Serviço",AI$12&lt;&gt;0,$H26&gt;0,OR(AUTOEVENTO&lt;&gt;"manual",$M26&lt;&gt;$A$15)),
        IF(Import.TipoArredondamento&lt;&gt;"TransfereGOV",
              ROUND(OFFSET($P26,0,AI$13),15-13*ORÇAMENTO!$AF$7)/$H26*OFFSET(ORÇAMENTO!$X$15,ROW(AI26)-ROW(AI$15),0),
              ROUND(ROUND(OFFSET($P26,0,AI$13),15-13*ORÇAMENTO!$AF$7)*OFFSET(ORÇAMENTO!$W$15,ROW(AI26)-ROW(AI$15),0),15-13*ORÇAMENTO!$AF$11)),
         0)</f>
        <v>0</v>
      </c>
      <c r="AJ26" s="454">
        <f ca="1">IF(AND($D26="Serviço",AJ$12&lt;&gt;0,$H26&gt;0,OR(AUTOEVENTO&lt;&gt;"manual",$M26&lt;&gt;$A$15)),
        IF(Import.TipoArredondamento&lt;&gt;"TransfereGOV",
              ROUND(OFFSET($P26,0,AJ$13),15-13*ORÇAMENTO!$AF$7)/$H26*OFFSET(ORÇAMENTO!$X$15,ROW(AJ26)-ROW(AJ$15),0),
              ROUND(ROUND(OFFSET($P26,0,AJ$13),15-13*ORÇAMENTO!$AF$7)*OFFSET(ORÇAMENTO!$W$15,ROW(AJ26)-ROW(AJ$15),0),15-13*ORÇAMENTO!$AF$11)),
         0)</f>
        <v>0</v>
      </c>
      <c r="AK26" s="454">
        <f ca="1">IF(AND($D26="Serviço",AK$12&lt;&gt;0,$H26&gt;0,OR(AUTOEVENTO&lt;&gt;"manual",$M26&lt;&gt;$A$15)),
        IF(Import.TipoArredondamento&lt;&gt;"TransfereGOV",
              ROUND(OFFSET($P26,0,AK$13),15-13*ORÇAMENTO!$AF$7)/$H26*OFFSET(ORÇAMENTO!$X$15,ROW(AK26)-ROW(AK$15),0),
              ROUND(ROUND(OFFSET($P26,0,AK$13),15-13*ORÇAMENTO!$AF$7)*OFFSET(ORÇAMENTO!$W$15,ROW(AK26)-ROW(AK$15),0),15-13*ORÇAMENTO!$AF$11)),
         0)</f>
        <v>0</v>
      </c>
      <c r="AM26" s="172">
        <f ca="1">IF(OR($D26&lt;&gt;"Serviço",AND(AUTOEVENTO="Manual",$M26=$A$15)),0,
         IF(OFFSET(CRONOPLE!$F$15,$M26-$A$15,AM$13)="",10^12,OFFSET(CRONOPLE!$F$15,$M26-$A$15,AM$13)))</f>
        <v>1000000000000</v>
      </c>
      <c r="AN26" s="172">
        <f ca="1">IF(OR($D26&lt;&gt;"Serviço",AND(AUTOEVENTO="Manual",$M26=$A$15)),0,
         IF(OFFSET(CRONOPLE!$F$15,$M26-$A$15,AN$13)="",10^12,OFFSET(CRONOPLE!$F$15,$M26-$A$15,AN$13)))</f>
        <v>1000000000000</v>
      </c>
      <c r="AO26" s="172">
        <f ca="1">IF(OR($D26&lt;&gt;"Serviço",AND(AUTOEVENTO="Manual",$M26=$A$15)),0,
         IF(OFFSET(CRONOPLE!$F$15,$M26-$A$15,AO$13)="",10^12,OFFSET(CRONOPLE!$F$15,$M26-$A$15,AO$13)))</f>
        <v>1000000000000</v>
      </c>
      <c r="AP26" s="172">
        <f ca="1">IF(OR($D26&lt;&gt;"Serviço",AND(AUTOEVENTO="Manual",$M26=$A$15)),0,
         IF(OFFSET(CRONOPLE!$F$15,$M26-$A$15,AP$13)="",10^12,OFFSET(CRONOPLE!$F$15,$M26-$A$15,AP$13)))</f>
        <v>1000000000000</v>
      </c>
      <c r="AQ26" s="172">
        <f ca="1">IF(OR($D26&lt;&gt;"Serviço",AND(AUTOEVENTO="Manual",$M26=$A$15)),0,
         IF(OFFSET(CRONOPLE!$F$15,$M26-$A$15,AQ$13)="",10^12,OFFSET(CRONOPLE!$F$15,$M26-$A$15,AQ$13)))</f>
        <v>1000000000000</v>
      </c>
      <c r="AR26" s="172">
        <f ca="1">IF(OR($D26&lt;&gt;"Serviço",AND(AUTOEVENTO="Manual",$M26=$A$15)),0,
         IF(OFFSET(CRONOPLE!$F$15,$M26-$A$15,AR$13)="",10^12,OFFSET(CRONOPLE!$F$15,$M26-$A$15,AR$13)))</f>
        <v>1000000000000</v>
      </c>
      <c r="AS26" s="172">
        <f ca="1">IF(OR($D26&lt;&gt;"Serviço",AND(AUTOEVENTO="Manual",$M26=$A$15)),0,
         IF(OFFSET(CRONOPLE!$F$15,$M26-$A$15,AS$13)="",10^12,OFFSET(CRONOPLE!$F$15,$M26-$A$15,AS$13)))</f>
        <v>1000000000000</v>
      </c>
      <c r="AT26" s="172">
        <f ca="1">IF(OR($D26&lt;&gt;"Serviço",AND(AUTOEVENTO="Manual",$M26=$A$15)),0,
         IF(OFFSET(CRONOPLE!$F$15,$M26-$A$15,AT$13)="",10^12,OFFSET(CRONOPLE!$F$15,$M26-$A$15,AT$13)))</f>
        <v>1000000000000</v>
      </c>
      <c r="AU26" s="172">
        <f ca="1">IF(OR($D26&lt;&gt;"Serviço",AND(AUTOEVENTO="Manual",$M26=$A$15)),0,
         IF(OFFSET(CRONOPLE!$F$15,$M26-$A$15,AU$13)="",10^12,OFFSET(CRONOPLE!$F$15,$M26-$A$15,AU$13)))</f>
        <v>1000000000000</v>
      </c>
      <c r="AV26" s="172">
        <f ca="1">IF(OR($D26&lt;&gt;"Serviço",AND(AUTOEVENTO="Manual",$M26=$A$15)),0,
         IF(OFFSET(CRONOPLE!$F$15,$M26-$A$15,AV$13)="",10^12,OFFSET(CRONOPLE!$F$15,$M26-$A$15,AV$13)))</f>
        <v>1000000000000</v>
      </c>
      <c r="AX26" s="173">
        <f ca="1">IF(OR($D26&lt;&gt;"Serviço",AND(AUTOEVENTO="Manual",$M26=$A$15),$M26&gt;(ROW(PLE.lastrow)-ROW(PLE.firstrow))),0,
           IF(OFFSET(PLE!$G$15,$M26-$A$15,AX$13)="",10^12,OFFSET(PLE!$G$15,$M26-$A$15,AX$13)))</f>
        <v>1000000000000</v>
      </c>
      <c r="AY26" s="173">
        <f ca="1">IF(OR($D26&lt;&gt;"Serviço",AND(AUTOEVENTO="Manual",$M26=$A$15),$M26&gt;(ROW(PLE.lastrow)-ROW(PLE.firstrow))),0,
           IF(OFFSET(PLE!$G$15,$M26-$A$15,AY$13)="",10^12,OFFSET(PLE!$G$15,$M26-$A$15,AY$13)))</f>
        <v>1000000000000</v>
      </c>
      <c r="AZ26" s="173">
        <f ca="1">IF(OR($D26&lt;&gt;"Serviço",AND(AUTOEVENTO="Manual",$M26=$A$15),$M26&gt;(ROW(PLE.lastrow)-ROW(PLE.firstrow))),0,
           IF(OFFSET(PLE!$G$15,$M26-$A$15,AZ$13)="",10^12,OFFSET(PLE!$G$15,$M26-$A$15,AZ$13)))</f>
        <v>1000000000000</v>
      </c>
      <c r="BA26" s="173">
        <f ca="1">IF(OR($D26&lt;&gt;"Serviço",AND(AUTOEVENTO="Manual",$M26=$A$15),$M26&gt;(ROW(PLE.lastrow)-ROW(PLE.firstrow))),0,
           IF(OFFSET(PLE!$G$15,$M26-$A$15,BA$13)="",10^12,OFFSET(PLE!$G$15,$M26-$A$15,BA$13)))</f>
        <v>1000000000000</v>
      </c>
      <c r="BB26" s="173">
        <f ca="1">IF(OR($D26&lt;&gt;"Serviço",AND(AUTOEVENTO="Manual",$M26=$A$15),$M26&gt;(ROW(PLE.lastrow)-ROW(PLE.firstrow))),0,
           IF(OFFSET(PLE!$G$15,$M26-$A$15,BB$13)="",10^12,OFFSET(PLE!$G$15,$M26-$A$15,BB$13)))</f>
        <v>1000000000000</v>
      </c>
      <c r="BC26" s="173">
        <f ca="1">IF(OR($D26&lt;&gt;"Serviço",AND(AUTOEVENTO="Manual",$M26=$A$15),$M26&gt;(ROW(PLE.lastrow)-ROW(PLE.firstrow))),0,
           IF(OFFSET(PLE!$G$15,$M26-$A$15,BC$13)="",10^12,OFFSET(PLE!$G$15,$M26-$A$15,BC$13)))</f>
        <v>1000000000000</v>
      </c>
      <c r="BD26" s="173">
        <f ca="1">IF(OR($D26&lt;&gt;"Serviço",AND(AUTOEVENTO="Manual",$M26=$A$15),$M26&gt;(ROW(PLE.lastrow)-ROW(PLE.firstrow))),0,
           IF(OFFSET(PLE!$G$15,$M26-$A$15,BD$13)="",10^12,OFFSET(PLE!$G$15,$M26-$A$15,BD$13)))</f>
        <v>1000000000000</v>
      </c>
      <c r="BE26" s="173">
        <f ca="1">IF(OR($D26&lt;&gt;"Serviço",AND(AUTOEVENTO="Manual",$M26=$A$15),$M26&gt;(ROW(PLE.lastrow)-ROW(PLE.firstrow))),0,
           IF(OFFSET(PLE!$G$15,$M26-$A$15,BE$13)="",10^12,OFFSET(PLE!$G$15,$M26-$A$15,BE$13)))</f>
        <v>1000000000000</v>
      </c>
      <c r="BF26" s="173">
        <f ca="1">IF(OR($D26&lt;&gt;"Serviço",AND(AUTOEVENTO="Manual",$M26=$A$15),$M26&gt;(ROW(PLE.lastrow)-ROW(PLE.firstrow))),0,
           IF(OFFSET(PLE!$G$15,$M26-$A$15,BF$13)="",10^12,OFFSET(PLE!$G$15,$M26-$A$15,BF$13)))</f>
        <v>1000000000000</v>
      </c>
      <c r="BG26" s="173">
        <f ca="1">IF(OR($D26&lt;&gt;"Serviço",AND(AUTOEVENTO="Manual",$M26=$A$15),$M26&gt;(ROW(PLE.lastrow)-ROW(PLE.firstrow))),0,
           IF(OFFSET(PLE!$G$15,$M26-$A$15,BG$13)="",10^12,OFFSET(PLE!$G$15,$M26-$A$15,BG$13)))</f>
        <v>1000000000000</v>
      </c>
    </row>
    <row r="27" spans="1:59" ht="5.0999999999999996" customHeight="1" x14ac:dyDescent="0.2">
      <c r="B27" s="7">
        <f ca="1">OFFSET(ORÇAMENTO!C$15,ROW(B27)-ROW(B$15),0)</f>
        <v>-1</v>
      </c>
      <c r="C27" s="7" t="str">
        <f ca="1">OFFSET(ORÇAMENTO!L$15,ROW(C27)-ROW(C$15),0)</f>
        <v>F</v>
      </c>
      <c r="D27" s="643" t="s">
        <v>703</v>
      </c>
      <c r="E27" s="626"/>
      <c r="F27" s="627"/>
      <c r="G27" s="627"/>
      <c r="H27" s="627"/>
      <c r="I27" s="420"/>
      <c r="K27" s="575"/>
      <c r="L27" s="166" t="s">
        <v>768</v>
      </c>
      <c r="M27" s="422"/>
      <c r="N27" s="421"/>
      <c r="O27" s="644"/>
      <c r="Q27" s="626"/>
      <c r="R27" s="627"/>
      <c r="S27" s="627"/>
      <c r="T27" s="627"/>
      <c r="U27" s="627"/>
      <c r="V27" s="627"/>
      <c r="W27" s="627"/>
      <c r="X27" s="627"/>
      <c r="Y27" s="627"/>
      <c r="Z27" s="420"/>
      <c r="AB27" s="645"/>
      <c r="AC27" s="646"/>
      <c r="AD27" s="646"/>
      <c r="AE27" s="646"/>
      <c r="AF27" s="646"/>
      <c r="AG27" s="646"/>
      <c r="AH27" s="646"/>
      <c r="AI27" s="646"/>
      <c r="AJ27" s="646"/>
      <c r="AK27" s="134"/>
      <c r="AM27" s="645"/>
      <c r="AN27" s="646"/>
      <c r="AO27" s="646"/>
      <c r="AP27" s="646"/>
      <c r="AQ27" s="646"/>
      <c r="AR27" s="646"/>
      <c r="AS27" s="646"/>
      <c r="AT27" s="646"/>
      <c r="AU27" s="646"/>
      <c r="AV27" s="134"/>
      <c r="AX27" s="645"/>
      <c r="AY27" s="646"/>
      <c r="AZ27" s="646"/>
      <c r="BA27" s="646"/>
      <c r="BB27" s="646"/>
      <c r="BC27" s="646"/>
      <c r="BD27" s="646"/>
      <c r="BE27" s="646"/>
      <c r="BF27" s="646"/>
      <c r="BG27" s="134"/>
    </row>
    <row r="28" spans="1:59" ht="12.75" customHeight="1" x14ac:dyDescent="0.2"/>
    <row r="29" spans="1:59" ht="12.75" customHeight="1" x14ac:dyDescent="0.2"/>
    <row r="30" spans="1:59" ht="12.75" customHeight="1" x14ac:dyDescent="0.2"/>
    <row r="31" spans="1:59" ht="15" customHeight="1" x14ac:dyDescent="0.2">
      <c r="F31" s="180" t="str">
        <f>Import.Município</f>
        <v>CAÇAPAVA DO SUL/RS</v>
      </c>
      <c r="I31" s="461"/>
      <c r="J31" s="461"/>
      <c r="K31" s="461"/>
      <c r="L31" s="461"/>
      <c r="M31" s="462"/>
      <c r="N31" s="418"/>
      <c r="T31" s="140"/>
      <c r="U31" s="140"/>
      <c r="V31" s="181"/>
      <c r="W31" s="181"/>
      <c r="X31" s="181"/>
      <c r="Y31" s="181"/>
    </row>
    <row r="32" spans="1:59" ht="12.75" customHeight="1" x14ac:dyDescent="0.2">
      <c r="F32" s="9" t="s">
        <v>696</v>
      </c>
      <c r="I32" s="182" t="s">
        <v>699</v>
      </c>
      <c r="J32" s="182"/>
      <c r="K32" s="182"/>
      <c r="L32" s="182"/>
      <c r="T32" s="182" t="s">
        <v>699</v>
      </c>
      <c r="U32" s="182"/>
    </row>
    <row r="33" spans="3:21" ht="12.75" customHeight="1" x14ac:dyDescent="0.2">
      <c r="I33" s="399" t="str">
        <f t="array" aca="1" ref="I33:I35" ca="1">OFFSET(Import.RespOrçamento,0,-1) &amp; " " &amp; Import.RespOrçamento</f>
        <v>Nome: HELMESONA DE O. SANTANA</v>
      </c>
      <c r="K33" s="79"/>
      <c r="L33" s="79"/>
      <c r="T33" s="399" t="str">
        <f t="array" aca="1" ref="T33:T35" ca="1">OFFSET(Import.RespOrçamento,0,-1) &amp; " " &amp; Import.RespOrçamento</f>
        <v>Nome: HELMESONA DE O. SANTANA</v>
      </c>
      <c r="U33" s="78"/>
    </row>
    <row r="34" spans="3:21" ht="12.75" customHeight="1" x14ac:dyDescent="0.2">
      <c r="F34" s="460">
        <f>DADOS!$C$25</f>
        <v>45803</v>
      </c>
      <c r="I34" s="399" t="str">
        <f ca="1"/>
        <v>CREA/CAU: CREA RS152843</v>
      </c>
      <c r="K34" s="79"/>
      <c r="L34" s="79"/>
      <c r="T34" s="399" t="str">
        <f ca="1"/>
        <v>CREA/CAU: CREA RS152843</v>
      </c>
      <c r="U34" s="78"/>
    </row>
    <row r="35" spans="3:21" ht="12.75" customHeight="1" x14ac:dyDescent="0.2">
      <c r="F35" s="141" t="s">
        <v>697</v>
      </c>
      <c r="I35" s="399" t="str">
        <f ca="1"/>
        <v>ART/RRT: ART 8809670</v>
      </c>
      <c r="K35" s="79"/>
      <c r="L35" s="79"/>
      <c r="T35" s="399" t="str">
        <f ca="1"/>
        <v>ART/RRT: ART 8809670</v>
      </c>
      <c r="U35" s="78"/>
    </row>
    <row r="36" spans="3:21" ht="12.75" customHeight="1" x14ac:dyDescent="0.2">
      <c r="C36"/>
      <c r="M36"/>
    </row>
    <row r="37" spans="3:21" ht="12.75" customHeight="1" x14ac:dyDescent="0.2">
      <c r="C37"/>
      <c r="M37"/>
    </row>
    <row r="38" spans="3:21" ht="12.75" customHeight="1" x14ac:dyDescent="0.2">
      <c r="C38"/>
      <c r="M38"/>
    </row>
    <row r="39" spans="3:21" ht="12.75" customHeight="1" x14ac:dyDescent="0.2">
      <c r="C39"/>
      <c r="M39"/>
    </row>
    <row r="40" spans="3:21" ht="12.75" customHeight="1" x14ac:dyDescent="0.2">
      <c r="C40"/>
      <c r="M40"/>
    </row>
    <row r="41" spans="3:21" ht="12.75" customHeight="1" x14ac:dyDescent="0.2">
      <c r="C41"/>
      <c r="M41"/>
    </row>
    <row r="42" spans="3:21" ht="12.75" customHeight="1" x14ac:dyDescent="0.2">
      <c r="C42"/>
      <c r="M42"/>
    </row>
    <row r="43" spans="3:21" ht="12.75" customHeight="1" x14ac:dyDescent="0.2">
      <c r="C43"/>
      <c r="M43"/>
    </row>
    <row r="44" spans="3:21" ht="12.75" customHeight="1" x14ac:dyDescent="0.2">
      <c r="C44"/>
      <c r="M44"/>
    </row>
    <row r="45" spans="3:21" ht="12.75" customHeight="1" x14ac:dyDescent="0.2">
      <c r="C45"/>
      <c r="M45"/>
    </row>
    <row r="46" spans="3:21" ht="12.75" customHeight="1" x14ac:dyDescent="0.2">
      <c r="C46"/>
      <c r="M46"/>
    </row>
    <row r="47" spans="3:21" ht="12.75" customHeight="1" x14ac:dyDescent="0.2">
      <c r="C47"/>
      <c r="M47"/>
    </row>
    <row r="48" spans="3:21" ht="12.75" customHeight="1" x14ac:dyDescent="0.2">
      <c r="C48"/>
      <c r="M48"/>
    </row>
    <row r="49" spans="3:13" ht="12.75" customHeight="1" x14ac:dyDescent="0.2">
      <c r="C49"/>
      <c r="M49"/>
    </row>
    <row r="50" spans="3:13" ht="12.75" customHeight="1" x14ac:dyDescent="0.2">
      <c r="C50"/>
      <c r="M50"/>
    </row>
    <row r="51" spans="3:13" ht="12.75" customHeight="1" x14ac:dyDescent="0.2">
      <c r="C51"/>
      <c r="M51"/>
    </row>
    <row r="52" spans="3:13" ht="12.75" customHeight="1" x14ac:dyDescent="0.2">
      <c r="C52"/>
      <c r="M52"/>
    </row>
    <row r="53" spans="3:13" ht="12.75" customHeight="1" x14ac:dyDescent="0.2">
      <c r="C53"/>
      <c r="M53"/>
    </row>
    <row r="54" spans="3:13" ht="12.75" customHeight="1" x14ac:dyDescent="0.2">
      <c r="C54"/>
      <c r="M54"/>
    </row>
    <row r="55" spans="3:13" ht="12.75" customHeight="1" x14ac:dyDescent="0.2">
      <c r="C55"/>
      <c r="M55"/>
    </row>
    <row r="56" spans="3:13" ht="12.75" customHeight="1" x14ac:dyDescent="0.2">
      <c r="C56"/>
      <c r="M56"/>
    </row>
    <row r="57" spans="3:13" ht="12.75" customHeight="1" x14ac:dyDescent="0.2">
      <c r="C57"/>
      <c r="M57"/>
    </row>
    <row r="58" spans="3:13" ht="12.75" customHeight="1" x14ac:dyDescent="0.2">
      <c r="C58"/>
      <c r="M58"/>
    </row>
    <row r="59" spans="3:13" ht="12.75" customHeight="1" x14ac:dyDescent="0.2">
      <c r="C59"/>
      <c r="M59"/>
    </row>
    <row r="60" spans="3:13" ht="12.75" customHeight="1" x14ac:dyDescent="0.2">
      <c r="C60"/>
      <c r="M60"/>
    </row>
    <row r="61" spans="3:13" ht="12.75" customHeight="1" x14ac:dyDescent="0.2">
      <c r="C61"/>
      <c r="M61"/>
    </row>
    <row r="62" spans="3:13" ht="12.75" customHeight="1" x14ac:dyDescent="0.2">
      <c r="C62"/>
      <c r="M62"/>
    </row>
    <row r="63" spans="3:13" ht="12.75" customHeight="1" x14ac:dyDescent="0.2">
      <c r="C63"/>
      <c r="M63"/>
    </row>
    <row r="64" spans="3:13" ht="12.75" customHeight="1" x14ac:dyDescent="0.2">
      <c r="C64"/>
      <c r="M64"/>
    </row>
    <row r="65" spans="3:13" ht="12.75" customHeight="1" x14ac:dyDescent="0.2">
      <c r="C65"/>
      <c r="M65"/>
    </row>
    <row r="66" spans="3:13" ht="12.75" customHeight="1" x14ac:dyDescent="0.2">
      <c r="C66"/>
      <c r="M66"/>
    </row>
    <row r="67" spans="3:13" ht="12.75" customHeight="1" x14ac:dyDescent="0.2">
      <c r="C67"/>
      <c r="M67"/>
    </row>
    <row r="68" spans="3:13" ht="12.75" customHeight="1" x14ac:dyDescent="0.2">
      <c r="C68"/>
      <c r="M68"/>
    </row>
    <row r="69" spans="3:13" ht="12.75" customHeight="1" x14ac:dyDescent="0.2">
      <c r="C69"/>
      <c r="M69"/>
    </row>
    <row r="70" spans="3:13" ht="12.75" customHeight="1" x14ac:dyDescent="0.2">
      <c r="C70"/>
      <c r="M70"/>
    </row>
    <row r="71" spans="3:13" ht="12.75" customHeight="1" x14ac:dyDescent="0.2">
      <c r="C71"/>
      <c r="M71"/>
    </row>
    <row r="72" spans="3:13" ht="12.75" customHeight="1" x14ac:dyDescent="0.2">
      <c r="C72"/>
      <c r="M72"/>
    </row>
    <row r="73" spans="3:13" ht="12.75" customHeight="1" x14ac:dyDescent="0.2">
      <c r="C73"/>
      <c r="M73"/>
    </row>
    <row r="74" spans="3:13" ht="12.75" customHeight="1" x14ac:dyDescent="0.2">
      <c r="C74"/>
      <c r="M74"/>
    </row>
    <row r="75" spans="3:13" ht="12.75" customHeight="1" x14ac:dyDescent="0.2">
      <c r="C75"/>
      <c r="M75"/>
    </row>
    <row r="76" spans="3:13" ht="12.75" customHeight="1" x14ac:dyDescent="0.2">
      <c r="C76"/>
      <c r="M76"/>
    </row>
    <row r="77" spans="3:13" ht="12.75" customHeight="1" x14ac:dyDescent="0.2">
      <c r="C77"/>
      <c r="M77"/>
    </row>
    <row r="78" spans="3:13" ht="12.75" customHeight="1" x14ac:dyDescent="0.2">
      <c r="C78"/>
      <c r="M78"/>
    </row>
    <row r="79" spans="3:13" ht="12.75" customHeight="1" x14ac:dyDescent="0.2">
      <c r="C79"/>
      <c r="M79"/>
    </row>
    <row r="80" spans="3:13" ht="12.75" customHeight="1" x14ac:dyDescent="0.2">
      <c r="C80"/>
      <c r="M80"/>
    </row>
    <row r="81" spans="3:13" ht="12.75" customHeight="1" x14ac:dyDescent="0.2">
      <c r="C81"/>
      <c r="M81"/>
    </row>
    <row r="82" spans="3:13" ht="12.75" customHeight="1" x14ac:dyDescent="0.2">
      <c r="C82"/>
      <c r="M82"/>
    </row>
    <row r="83" spans="3:13" ht="12.75" customHeight="1" x14ac:dyDescent="0.2">
      <c r="C83"/>
      <c r="M83"/>
    </row>
    <row r="84" spans="3:13" ht="12.75" customHeight="1" x14ac:dyDescent="0.2">
      <c r="C84"/>
      <c r="M84"/>
    </row>
    <row r="85" spans="3:13" ht="12.75" customHeight="1" x14ac:dyDescent="0.2">
      <c r="C85"/>
      <c r="M85"/>
    </row>
    <row r="86" spans="3:13" ht="12.75" customHeight="1" x14ac:dyDescent="0.2">
      <c r="C86"/>
      <c r="M86"/>
    </row>
    <row r="87" spans="3:13" ht="12.75" customHeight="1" x14ac:dyDescent="0.2">
      <c r="C87"/>
      <c r="M87"/>
    </row>
    <row r="88" spans="3:13" ht="12.75" customHeight="1" x14ac:dyDescent="0.2">
      <c r="C88"/>
      <c r="M88"/>
    </row>
    <row r="89" spans="3:13" ht="12.75" customHeight="1" x14ac:dyDescent="0.2">
      <c r="C89"/>
      <c r="M89"/>
    </row>
    <row r="90" spans="3:13" ht="12.75" customHeight="1" x14ac:dyDescent="0.2">
      <c r="C90"/>
      <c r="M90"/>
    </row>
    <row r="91" spans="3:13" ht="12.75" customHeight="1" x14ac:dyDescent="0.2">
      <c r="C91"/>
      <c r="M91"/>
    </row>
    <row r="92" spans="3:13" ht="12.75" customHeight="1" x14ac:dyDescent="0.2">
      <c r="C92"/>
      <c r="M92"/>
    </row>
    <row r="93" spans="3:13" ht="12.75" customHeight="1" x14ac:dyDescent="0.2">
      <c r="C93"/>
      <c r="M93"/>
    </row>
    <row r="94" spans="3:13" ht="12.75" customHeight="1" x14ac:dyDescent="0.2">
      <c r="C94"/>
      <c r="M94"/>
    </row>
    <row r="95" spans="3:13" ht="12.75" customHeight="1" x14ac:dyDescent="0.2">
      <c r="C95"/>
      <c r="M95"/>
    </row>
    <row r="96" spans="3:13" ht="12.75" customHeight="1" x14ac:dyDescent="0.2">
      <c r="C96"/>
      <c r="M96"/>
    </row>
    <row r="97" spans="3:13" ht="12.75" customHeight="1" x14ac:dyDescent="0.2">
      <c r="C97"/>
      <c r="M97"/>
    </row>
    <row r="98" spans="3:13" ht="12.75" customHeight="1" x14ac:dyDescent="0.2">
      <c r="C98"/>
      <c r="M98"/>
    </row>
    <row r="99" spans="3:13" ht="12.75" customHeight="1" x14ac:dyDescent="0.2">
      <c r="C99"/>
      <c r="M99"/>
    </row>
    <row r="100" spans="3:13" ht="12.75" customHeight="1" x14ac:dyDescent="0.2">
      <c r="C100"/>
      <c r="M100"/>
    </row>
    <row r="101" spans="3:13" ht="12.75" customHeight="1" x14ac:dyDescent="0.2">
      <c r="C101"/>
      <c r="M101"/>
    </row>
    <row r="102" spans="3:13" ht="12.75" customHeight="1" x14ac:dyDescent="0.2">
      <c r="C102"/>
      <c r="M102"/>
    </row>
    <row r="103" spans="3:13" ht="12.75" customHeight="1" x14ac:dyDescent="0.2">
      <c r="C103"/>
      <c r="M103"/>
    </row>
    <row r="104" spans="3:13" ht="12.75" customHeight="1" x14ac:dyDescent="0.2">
      <c r="C104"/>
      <c r="M104"/>
    </row>
    <row r="105" spans="3:13" ht="12.75" customHeight="1" x14ac:dyDescent="0.2">
      <c r="C105"/>
      <c r="M105"/>
    </row>
    <row r="106" spans="3:13" ht="12.75" customHeight="1" x14ac:dyDescent="0.2">
      <c r="C106"/>
      <c r="M106"/>
    </row>
    <row r="107" spans="3:13" ht="12.75" customHeight="1" x14ac:dyDescent="0.2">
      <c r="C107"/>
      <c r="M107"/>
    </row>
    <row r="108" spans="3:13" ht="12.75" customHeight="1" x14ac:dyDescent="0.2">
      <c r="C108"/>
      <c r="M108"/>
    </row>
    <row r="109" spans="3:13" ht="12.75" customHeight="1" x14ac:dyDescent="0.2">
      <c r="C109"/>
      <c r="M109"/>
    </row>
    <row r="110" spans="3:13" ht="12.75" customHeight="1" x14ac:dyDescent="0.2">
      <c r="C110"/>
      <c r="M110"/>
    </row>
    <row r="111" spans="3:13" ht="12.75" customHeight="1" x14ac:dyDescent="0.2">
      <c r="C111"/>
      <c r="M111"/>
    </row>
    <row r="112" spans="3:13" ht="12.75" customHeight="1" x14ac:dyDescent="0.2">
      <c r="C112"/>
      <c r="M112"/>
    </row>
    <row r="113" spans="3:13" ht="12.75" customHeight="1" x14ac:dyDescent="0.2">
      <c r="C113"/>
      <c r="M113"/>
    </row>
    <row r="114" spans="3:13" ht="12.75" customHeight="1" x14ac:dyDescent="0.2">
      <c r="C114"/>
      <c r="M114"/>
    </row>
    <row r="115" spans="3:13" ht="12.75" customHeight="1" x14ac:dyDescent="0.2">
      <c r="C115"/>
      <c r="M115"/>
    </row>
    <row r="116" spans="3:13" ht="12.75" customHeight="1" x14ac:dyDescent="0.2">
      <c r="C116"/>
      <c r="M116"/>
    </row>
    <row r="117" spans="3:13" ht="12.75" customHeight="1" x14ac:dyDescent="0.2">
      <c r="C117"/>
      <c r="M117"/>
    </row>
    <row r="118" spans="3:13" ht="12.75" customHeight="1" x14ac:dyDescent="0.2">
      <c r="C118"/>
      <c r="M118"/>
    </row>
    <row r="119" spans="3:13" ht="12.75" customHeight="1" x14ac:dyDescent="0.2">
      <c r="C119"/>
      <c r="M119"/>
    </row>
    <row r="120" spans="3:13" ht="12.75" customHeight="1" x14ac:dyDescent="0.2">
      <c r="C120"/>
      <c r="M120"/>
    </row>
    <row r="121" spans="3:13" ht="12.75" customHeight="1" x14ac:dyDescent="0.2">
      <c r="C121"/>
      <c r="M121"/>
    </row>
    <row r="122" spans="3:13" ht="12.75" customHeight="1" x14ac:dyDescent="0.2">
      <c r="C122"/>
      <c r="M122"/>
    </row>
    <row r="123" spans="3:13" ht="12.75" customHeight="1" x14ac:dyDescent="0.2">
      <c r="C123"/>
      <c r="M123"/>
    </row>
    <row r="124" spans="3:13" ht="12.75" customHeight="1" x14ac:dyDescent="0.2">
      <c r="C124"/>
      <c r="M124"/>
    </row>
    <row r="125" spans="3:13" ht="12.75" customHeight="1" x14ac:dyDescent="0.2">
      <c r="C125"/>
      <c r="M125"/>
    </row>
    <row r="126" spans="3:13" ht="12.75" customHeight="1" x14ac:dyDescent="0.2">
      <c r="C126"/>
      <c r="M126"/>
    </row>
    <row r="127" spans="3:13" ht="12.75" customHeight="1" x14ac:dyDescent="0.2">
      <c r="C127"/>
      <c r="M127"/>
    </row>
    <row r="128" spans="3:13" ht="12.75" customHeight="1" x14ac:dyDescent="0.2">
      <c r="C128"/>
      <c r="M128"/>
    </row>
    <row r="129" spans="3:13" ht="12.75" customHeight="1" x14ac:dyDescent="0.2">
      <c r="C129"/>
      <c r="M129"/>
    </row>
    <row r="130" spans="3:13" ht="12.75" customHeight="1" x14ac:dyDescent="0.2">
      <c r="C130"/>
      <c r="M130"/>
    </row>
    <row r="131" spans="3:13" ht="12.75" customHeight="1" x14ac:dyDescent="0.2">
      <c r="C131"/>
      <c r="M131"/>
    </row>
    <row r="132" spans="3:13" ht="12.75" customHeight="1" x14ac:dyDescent="0.2">
      <c r="C132"/>
      <c r="M132"/>
    </row>
    <row r="133" spans="3:13" ht="12.75" customHeight="1" x14ac:dyDescent="0.2">
      <c r="C133"/>
      <c r="M133"/>
    </row>
    <row r="134" spans="3:13" ht="12.75" customHeight="1" x14ac:dyDescent="0.2">
      <c r="C134"/>
      <c r="M134"/>
    </row>
    <row r="135" spans="3:13" ht="12.75" customHeight="1" x14ac:dyDescent="0.2">
      <c r="C135"/>
      <c r="M135"/>
    </row>
    <row r="136" spans="3:13" ht="12.75" customHeight="1" x14ac:dyDescent="0.2">
      <c r="C136"/>
      <c r="M136"/>
    </row>
    <row r="137" spans="3:13" ht="12.75" customHeight="1" x14ac:dyDescent="0.2">
      <c r="C137"/>
      <c r="M137"/>
    </row>
    <row r="138" spans="3:13" ht="12.75" customHeight="1" x14ac:dyDescent="0.2">
      <c r="C138"/>
      <c r="M138"/>
    </row>
    <row r="139" spans="3:13" ht="12.75" customHeight="1" x14ac:dyDescent="0.2">
      <c r="C139"/>
      <c r="M139"/>
    </row>
    <row r="140" spans="3:13" ht="12.75" customHeight="1" x14ac:dyDescent="0.2">
      <c r="C140"/>
      <c r="M140"/>
    </row>
    <row r="141" spans="3:13" ht="12.75" customHeight="1" x14ac:dyDescent="0.2">
      <c r="C141"/>
      <c r="M141"/>
    </row>
    <row r="142" spans="3:13" ht="12.75" customHeight="1" x14ac:dyDescent="0.2">
      <c r="C142"/>
      <c r="M142"/>
    </row>
    <row r="143" spans="3:13" ht="12.75" customHeight="1" x14ac:dyDescent="0.2">
      <c r="C143"/>
      <c r="M143"/>
    </row>
    <row r="144" spans="3:13" ht="12.75" customHeight="1" x14ac:dyDescent="0.2">
      <c r="C144"/>
      <c r="M144"/>
    </row>
    <row r="145" spans="3:13" ht="12.75" customHeight="1" x14ac:dyDescent="0.2">
      <c r="C145"/>
      <c r="M145"/>
    </row>
    <row r="146" spans="3:13" ht="12.75" customHeight="1" x14ac:dyDescent="0.2">
      <c r="C146"/>
      <c r="M146"/>
    </row>
    <row r="147" spans="3:13" ht="12.75" customHeight="1" x14ac:dyDescent="0.2">
      <c r="C147"/>
      <c r="M147"/>
    </row>
    <row r="148" spans="3:13" ht="12.75" customHeight="1" x14ac:dyDescent="0.2">
      <c r="C148"/>
      <c r="M148"/>
    </row>
    <row r="149" spans="3:13" ht="12.75" customHeight="1" x14ac:dyDescent="0.2">
      <c r="C149"/>
      <c r="M149"/>
    </row>
    <row r="150" spans="3:13" ht="12.75" customHeight="1" x14ac:dyDescent="0.2">
      <c r="C150"/>
      <c r="M150"/>
    </row>
    <row r="151" spans="3:13" ht="12.75" customHeight="1" x14ac:dyDescent="0.2">
      <c r="C151"/>
      <c r="M151"/>
    </row>
    <row r="152" spans="3:13" ht="12.75" customHeight="1" x14ac:dyDescent="0.2">
      <c r="C152"/>
      <c r="M152"/>
    </row>
    <row r="153" spans="3:13" ht="12.75" customHeight="1" x14ac:dyDescent="0.2">
      <c r="C153"/>
      <c r="M153"/>
    </row>
    <row r="154" spans="3:13" ht="12.75" customHeight="1" x14ac:dyDescent="0.2">
      <c r="C154"/>
      <c r="M154"/>
    </row>
    <row r="155" spans="3:13" ht="12.75" customHeight="1" x14ac:dyDescent="0.2">
      <c r="C155"/>
      <c r="M155"/>
    </row>
    <row r="156" spans="3:13" ht="12.75" customHeight="1" x14ac:dyDescent="0.2">
      <c r="C156"/>
      <c r="M156"/>
    </row>
    <row r="157" spans="3:13" ht="12.75" customHeight="1" x14ac:dyDescent="0.2">
      <c r="C157"/>
      <c r="M157"/>
    </row>
    <row r="158" spans="3:13" ht="12.75" customHeight="1" x14ac:dyDescent="0.2">
      <c r="C158"/>
      <c r="M158"/>
    </row>
    <row r="159" spans="3:13" ht="12.75" customHeight="1" x14ac:dyDescent="0.2">
      <c r="C159"/>
      <c r="M159"/>
    </row>
    <row r="160" spans="3:13" ht="12.75" customHeight="1" x14ac:dyDescent="0.2">
      <c r="C160"/>
      <c r="M160"/>
    </row>
    <row r="161" spans="3:13" ht="12.75" customHeight="1" x14ac:dyDescent="0.2">
      <c r="C161"/>
      <c r="M161"/>
    </row>
    <row r="162" spans="3:13" ht="12.75" customHeight="1" x14ac:dyDescent="0.2">
      <c r="C162"/>
      <c r="M162"/>
    </row>
    <row r="163" spans="3:13" ht="12.75" customHeight="1" x14ac:dyDescent="0.2">
      <c r="C163"/>
      <c r="M163"/>
    </row>
    <row r="164" spans="3:13" ht="12.75" customHeight="1" x14ac:dyDescent="0.2">
      <c r="C164"/>
      <c r="M164"/>
    </row>
    <row r="165" spans="3:13" ht="12.75" customHeight="1" x14ac:dyDescent="0.2">
      <c r="C165"/>
      <c r="M165"/>
    </row>
    <row r="166" spans="3:13" ht="12.75" customHeight="1" x14ac:dyDescent="0.2">
      <c r="C166"/>
      <c r="M166"/>
    </row>
    <row r="167" spans="3:13" ht="12.75" customHeight="1" x14ac:dyDescent="0.2">
      <c r="C167"/>
      <c r="M167"/>
    </row>
    <row r="168" spans="3:13" ht="12.75" customHeight="1" x14ac:dyDescent="0.2">
      <c r="C168"/>
      <c r="M168"/>
    </row>
    <row r="169" spans="3:13" ht="12.75" customHeight="1" x14ac:dyDescent="0.2">
      <c r="C169"/>
      <c r="M169"/>
    </row>
    <row r="170" spans="3:13" ht="12.75" customHeight="1" x14ac:dyDescent="0.2">
      <c r="C170"/>
      <c r="M170"/>
    </row>
    <row r="171" spans="3:13" ht="12.75" customHeight="1" x14ac:dyDescent="0.2">
      <c r="C171"/>
      <c r="M171"/>
    </row>
    <row r="172" spans="3:13" ht="12.75" customHeight="1" x14ac:dyDescent="0.2">
      <c r="C172"/>
      <c r="M172"/>
    </row>
    <row r="173" spans="3:13" ht="12.75" customHeight="1" x14ac:dyDescent="0.2">
      <c r="C173"/>
      <c r="M173"/>
    </row>
    <row r="174" spans="3:13" ht="12.75" customHeight="1" x14ac:dyDescent="0.2">
      <c r="C174"/>
      <c r="M174"/>
    </row>
    <row r="175" spans="3:13" ht="12.75" customHeight="1" x14ac:dyDescent="0.2">
      <c r="C175"/>
      <c r="M175"/>
    </row>
    <row r="176" spans="3:13" ht="12.75" customHeight="1" x14ac:dyDescent="0.2">
      <c r="C176"/>
      <c r="M176"/>
    </row>
    <row r="177" spans="3:13" ht="12.75" customHeight="1" x14ac:dyDescent="0.2">
      <c r="C177"/>
      <c r="M177"/>
    </row>
    <row r="178" spans="3:13" ht="12.75" customHeight="1" x14ac:dyDescent="0.2">
      <c r="C178"/>
      <c r="M178"/>
    </row>
    <row r="179" spans="3:13" ht="12.75" customHeight="1" x14ac:dyDescent="0.2">
      <c r="C179"/>
      <c r="M179"/>
    </row>
    <row r="180" spans="3:13" ht="12.75" customHeight="1" x14ac:dyDescent="0.2">
      <c r="C180"/>
      <c r="M180"/>
    </row>
    <row r="181" spans="3:13" ht="12.75" customHeight="1" x14ac:dyDescent="0.2">
      <c r="C181"/>
      <c r="M181"/>
    </row>
    <row r="182" spans="3:13" ht="12.75" customHeight="1" x14ac:dyDescent="0.2">
      <c r="C182"/>
      <c r="M182"/>
    </row>
    <row r="183" spans="3:13" ht="12.75" customHeight="1" x14ac:dyDescent="0.2">
      <c r="C183"/>
      <c r="M183"/>
    </row>
    <row r="184" spans="3:13" ht="12.75" customHeight="1" x14ac:dyDescent="0.2">
      <c r="C184"/>
      <c r="M184"/>
    </row>
    <row r="185" spans="3:13" ht="12.75" customHeight="1" x14ac:dyDescent="0.2">
      <c r="C185"/>
      <c r="M185"/>
    </row>
    <row r="186" spans="3:13" ht="12.75" customHeight="1" x14ac:dyDescent="0.2">
      <c r="C186"/>
      <c r="M186"/>
    </row>
    <row r="187" spans="3:13" ht="12.75" customHeight="1" x14ac:dyDescent="0.2">
      <c r="C187"/>
      <c r="M187"/>
    </row>
    <row r="188" spans="3:13" ht="12.75" customHeight="1" x14ac:dyDescent="0.2">
      <c r="C188"/>
      <c r="M188"/>
    </row>
    <row r="189" spans="3:13" ht="12.75" customHeight="1" x14ac:dyDescent="0.2">
      <c r="C189"/>
      <c r="M189"/>
    </row>
    <row r="190" spans="3:13" ht="12.75" customHeight="1" x14ac:dyDescent="0.2">
      <c r="C190"/>
      <c r="M190"/>
    </row>
    <row r="191" spans="3:13" ht="12.75" customHeight="1" x14ac:dyDescent="0.2">
      <c r="C191"/>
      <c r="M191"/>
    </row>
    <row r="192" spans="3:13" ht="12.75" customHeight="1" x14ac:dyDescent="0.2">
      <c r="C192"/>
      <c r="M192"/>
    </row>
    <row r="193" spans="3:13" ht="12.75" customHeight="1" x14ac:dyDescent="0.2">
      <c r="C193"/>
      <c r="M193"/>
    </row>
    <row r="194" spans="3:13" ht="12.75" customHeight="1" x14ac:dyDescent="0.2">
      <c r="C194"/>
      <c r="M194"/>
    </row>
    <row r="195" spans="3:13" ht="12.75" customHeight="1" x14ac:dyDescent="0.2">
      <c r="C195"/>
      <c r="M195"/>
    </row>
    <row r="196" spans="3:13" ht="12.75" customHeight="1" x14ac:dyDescent="0.2">
      <c r="C196"/>
      <c r="M196"/>
    </row>
    <row r="197" spans="3:13" ht="12.75" customHeight="1" x14ac:dyDescent="0.2">
      <c r="C197"/>
      <c r="M197"/>
    </row>
    <row r="198" spans="3:13" ht="12.75" customHeight="1" x14ac:dyDescent="0.2">
      <c r="C198"/>
      <c r="M198"/>
    </row>
    <row r="199" spans="3:13" ht="12.75" customHeight="1" x14ac:dyDescent="0.2">
      <c r="C199"/>
      <c r="M199"/>
    </row>
    <row r="200" spans="3:13" ht="12.75" customHeight="1" x14ac:dyDescent="0.2">
      <c r="C200"/>
      <c r="M200"/>
    </row>
    <row r="201" spans="3:13" ht="12.75" customHeight="1" x14ac:dyDescent="0.2">
      <c r="C201"/>
      <c r="M201"/>
    </row>
    <row r="202" spans="3:13" ht="12.75" customHeight="1" x14ac:dyDescent="0.2">
      <c r="C202"/>
      <c r="M202"/>
    </row>
    <row r="203" spans="3:13" ht="12.75" customHeight="1" x14ac:dyDescent="0.2">
      <c r="C203"/>
      <c r="M203"/>
    </row>
    <row r="204" spans="3:13" ht="12.75" customHeight="1" x14ac:dyDescent="0.2">
      <c r="C204"/>
      <c r="M204"/>
    </row>
    <row r="205" spans="3:13" ht="12.75" customHeight="1" x14ac:dyDescent="0.2">
      <c r="C205"/>
      <c r="M205"/>
    </row>
    <row r="206" spans="3:13" ht="12.75" customHeight="1" x14ac:dyDescent="0.2">
      <c r="C206"/>
      <c r="M206"/>
    </row>
    <row r="207" spans="3:13" ht="12.75" customHeight="1" x14ac:dyDescent="0.2">
      <c r="C207"/>
      <c r="M207"/>
    </row>
    <row r="208" spans="3:13" ht="12.75" customHeight="1" x14ac:dyDescent="0.2">
      <c r="C208"/>
      <c r="M208"/>
    </row>
    <row r="209" spans="3:13" ht="12.75" customHeight="1" x14ac:dyDescent="0.2">
      <c r="C209"/>
      <c r="M209"/>
    </row>
    <row r="210" spans="3:13" ht="12.75" customHeight="1" x14ac:dyDescent="0.2">
      <c r="C210"/>
      <c r="M210"/>
    </row>
    <row r="211" spans="3:13" ht="12.75" customHeight="1" x14ac:dyDescent="0.2">
      <c r="C211"/>
      <c r="M211"/>
    </row>
    <row r="212" spans="3:13" ht="12.75" customHeight="1" x14ac:dyDescent="0.2">
      <c r="C212"/>
      <c r="M212"/>
    </row>
    <row r="213" spans="3:13" ht="12.75" customHeight="1" x14ac:dyDescent="0.2">
      <c r="C213"/>
      <c r="M213"/>
    </row>
    <row r="214" spans="3:13" ht="12.75" customHeight="1" x14ac:dyDescent="0.2">
      <c r="C214"/>
      <c r="M214"/>
    </row>
    <row r="215" spans="3:13" ht="12.75" customHeight="1" x14ac:dyDescent="0.2">
      <c r="C215"/>
      <c r="M215"/>
    </row>
    <row r="216" spans="3:13" ht="12.75" customHeight="1" x14ac:dyDescent="0.2">
      <c r="C216"/>
      <c r="M216"/>
    </row>
    <row r="217" spans="3:13" ht="12.75" customHeight="1" x14ac:dyDescent="0.2">
      <c r="C217"/>
      <c r="M217"/>
    </row>
    <row r="218" spans="3:13" ht="12.75" customHeight="1" x14ac:dyDescent="0.2">
      <c r="C218"/>
      <c r="M218"/>
    </row>
    <row r="219" spans="3:13" ht="12.75" customHeight="1" x14ac:dyDescent="0.2">
      <c r="C219"/>
      <c r="M219"/>
    </row>
    <row r="220" spans="3:13" ht="12.75" customHeight="1" x14ac:dyDescent="0.2">
      <c r="C220"/>
      <c r="M220"/>
    </row>
    <row r="221" spans="3:13" ht="12.75" customHeight="1" x14ac:dyDescent="0.2">
      <c r="C221"/>
      <c r="M221"/>
    </row>
    <row r="222" spans="3:13" ht="12.75" customHeight="1" x14ac:dyDescent="0.2">
      <c r="C222"/>
      <c r="M222"/>
    </row>
    <row r="223" spans="3:13" ht="12.75" customHeight="1" x14ac:dyDescent="0.2">
      <c r="C223"/>
      <c r="M223"/>
    </row>
    <row r="224" spans="3:13" ht="12.75" customHeight="1" x14ac:dyDescent="0.2">
      <c r="C224"/>
      <c r="M224"/>
    </row>
    <row r="225" spans="3:13" ht="12.75" customHeight="1" x14ac:dyDescent="0.2">
      <c r="C225"/>
      <c r="M225"/>
    </row>
    <row r="226" spans="3:13" ht="12.75" customHeight="1" x14ac:dyDescent="0.2">
      <c r="C226"/>
      <c r="M226"/>
    </row>
    <row r="227" spans="3:13" ht="12.75" customHeight="1" x14ac:dyDescent="0.2">
      <c r="C227"/>
      <c r="M227"/>
    </row>
    <row r="228" spans="3:13" ht="12.75" customHeight="1" x14ac:dyDescent="0.2">
      <c r="C228"/>
      <c r="M228"/>
    </row>
    <row r="229" spans="3:13" ht="12.75" customHeight="1" x14ac:dyDescent="0.2">
      <c r="C229"/>
      <c r="M229"/>
    </row>
    <row r="230" spans="3:13" ht="12.75" customHeight="1" x14ac:dyDescent="0.2">
      <c r="C230"/>
      <c r="M230"/>
    </row>
    <row r="231" spans="3:13" ht="12.75" customHeight="1" x14ac:dyDescent="0.2">
      <c r="C231"/>
      <c r="M231"/>
    </row>
    <row r="232" spans="3:13" ht="12.75" customHeight="1" x14ac:dyDescent="0.2">
      <c r="C232"/>
      <c r="M232"/>
    </row>
    <row r="233" spans="3:13" ht="12.75" customHeight="1" x14ac:dyDescent="0.2">
      <c r="C233"/>
      <c r="M233"/>
    </row>
    <row r="234" spans="3:13" ht="12.75" customHeight="1" x14ac:dyDescent="0.2">
      <c r="C234"/>
      <c r="M234"/>
    </row>
    <row r="235" spans="3:13" ht="12.75" customHeight="1" x14ac:dyDescent="0.2">
      <c r="C235"/>
      <c r="M235"/>
    </row>
    <row r="236" spans="3:13" ht="12.75" customHeight="1" x14ac:dyDescent="0.2">
      <c r="C236"/>
      <c r="M236"/>
    </row>
    <row r="237" spans="3:13" ht="12.75" customHeight="1" x14ac:dyDescent="0.2">
      <c r="C237"/>
      <c r="M237"/>
    </row>
    <row r="238" spans="3:13" ht="12.75" customHeight="1" x14ac:dyDescent="0.2">
      <c r="C238"/>
      <c r="M238"/>
    </row>
    <row r="239" spans="3:13" ht="12.75" customHeight="1" x14ac:dyDescent="0.2">
      <c r="C239"/>
      <c r="M239"/>
    </row>
    <row r="240" spans="3:13" ht="12.75" customHeight="1" x14ac:dyDescent="0.2">
      <c r="C240"/>
      <c r="M240"/>
    </row>
    <row r="241" spans="3:13" ht="12.75" customHeight="1" x14ac:dyDescent="0.2">
      <c r="C241"/>
      <c r="M241"/>
    </row>
    <row r="242" spans="3:13" ht="12.75" customHeight="1" x14ac:dyDescent="0.2">
      <c r="C242"/>
      <c r="M242"/>
    </row>
    <row r="243" spans="3:13" ht="12.75" customHeight="1" x14ac:dyDescent="0.2">
      <c r="C243"/>
      <c r="M243"/>
    </row>
    <row r="244" spans="3:13" ht="12.75" customHeight="1" x14ac:dyDescent="0.2">
      <c r="C244"/>
      <c r="M244"/>
    </row>
    <row r="245" spans="3:13" ht="12.75" customHeight="1" x14ac:dyDescent="0.2">
      <c r="C245"/>
      <c r="M245"/>
    </row>
    <row r="246" spans="3:13" ht="12.75" customHeight="1" x14ac:dyDescent="0.2">
      <c r="C246"/>
      <c r="M246"/>
    </row>
    <row r="247" spans="3:13" ht="12.75" customHeight="1" x14ac:dyDescent="0.2">
      <c r="C247"/>
      <c r="M247"/>
    </row>
    <row r="248" spans="3:13" ht="12.75" customHeight="1" x14ac:dyDescent="0.2">
      <c r="C248"/>
      <c r="M248"/>
    </row>
    <row r="249" spans="3:13" ht="12.75" customHeight="1" x14ac:dyDescent="0.2">
      <c r="C249"/>
      <c r="M249"/>
    </row>
    <row r="250" spans="3:13" ht="12.75" customHeight="1" x14ac:dyDescent="0.2">
      <c r="C250"/>
      <c r="M250"/>
    </row>
    <row r="251" spans="3:13" ht="12.75" customHeight="1" x14ac:dyDescent="0.2">
      <c r="C251"/>
      <c r="M251"/>
    </row>
    <row r="252" spans="3:13" ht="12.75" customHeight="1" x14ac:dyDescent="0.2">
      <c r="C252"/>
      <c r="M252"/>
    </row>
    <row r="253" spans="3:13" ht="12.75" customHeight="1" x14ac:dyDescent="0.2">
      <c r="C253"/>
      <c r="M253"/>
    </row>
    <row r="254" spans="3:13" ht="12.75" customHeight="1" x14ac:dyDescent="0.2">
      <c r="C254"/>
      <c r="M254"/>
    </row>
    <row r="255" spans="3:13" ht="12.75" customHeight="1" x14ac:dyDescent="0.2">
      <c r="C255"/>
      <c r="M255"/>
    </row>
    <row r="256" spans="3:13" ht="12.75" customHeight="1" x14ac:dyDescent="0.2">
      <c r="C256"/>
      <c r="M256"/>
    </row>
    <row r="257" spans="3:13" ht="12.75" customHeight="1" x14ac:dyDescent="0.2">
      <c r="C257"/>
      <c r="M257"/>
    </row>
    <row r="258" spans="3:13" ht="12.75" customHeight="1" x14ac:dyDescent="0.2">
      <c r="C258"/>
      <c r="M258"/>
    </row>
    <row r="259" spans="3:13" ht="12.75" customHeight="1" x14ac:dyDescent="0.2">
      <c r="C259"/>
      <c r="M259"/>
    </row>
    <row r="260" spans="3:13" ht="12.75" customHeight="1" x14ac:dyDescent="0.2">
      <c r="C260"/>
      <c r="M260"/>
    </row>
    <row r="261" spans="3:13" ht="12.75" customHeight="1" x14ac:dyDescent="0.2">
      <c r="C261"/>
      <c r="M261"/>
    </row>
    <row r="262" spans="3:13" ht="12.75" customHeight="1" x14ac:dyDescent="0.2">
      <c r="C262"/>
      <c r="M262"/>
    </row>
    <row r="263" spans="3:13" ht="12.75" customHeight="1" x14ac:dyDescent="0.2">
      <c r="C263"/>
      <c r="M263"/>
    </row>
    <row r="264" spans="3:13" ht="12.75" customHeight="1" x14ac:dyDescent="0.2">
      <c r="C264"/>
      <c r="M264"/>
    </row>
    <row r="265" spans="3:13" ht="12.75" customHeight="1" x14ac:dyDescent="0.2">
      <c r="C265"/>
      <c r="M265"/>
    </row>
    <row r="266" spans="3:13" ht="12.75" customHeight="1" x14ac:dyDescent="0.2">
      <c r="C266"/>
      <c r="M266"/>
    </row>
    <row r="267" spans="3:13" ht="12.75" customHeight="1" x14ac:dyDescent="0.2">
      <c r="C267"/>
      <c r="M267"/>
    </row>
    <row r="268" spans="3:13" ht="12.75" customHeight="1" x14ac:dyDescent="0.2">
      <c r="C268"/>
      <c r="M268"/>
    </row>
    <row r="269" spans="3:13" ht="12.75" customHeight="1" x14ac:dyDescent="0.2">
      <c r="C269"/>
      <c r="M269"/>
    </row>
    <row r="270" spans="3:13" ht="12.75" customHeight="1" x14ac:dyDescent="0.2">
      <c r="C270"/>
      <c r="M270"/>
    </row>
    <row r="271" spans="3:13" ht="12.75" customHeight="1" x14ac:dyDescent="0.2">
      <c r="C271"/>
      <c r="M271"/>
    </row>
    <row r="272" spans="3:13" ht="12.75" customHeight="1" x14ac:dyDescent="0.2">
      <c r="C272"/>
      <c r="M272"/>
    </row>
    <row r="273" spans="3:13" ht="12.75" customHeight="1" x14ac:dyDescent="0.2">
      <c r="C273"/>
      <c r="M273"/>
    </row>
    <row r="274" spans="3:13" ht="12.75" customHeight="1" x14ac:dyDescent="0.2">
      <c r="C274"/>
      <c r="M274"/>
    </row>
    <row r="275" spans="3:13" ht="12.75" customHeight="1" x14ac:dyDescent="0.2">
      <c r="C275"/>
      <c r="M275"/>
    </row>
    <row r="276" spans="3:13" ht="12.75" customHeight="1" x14ac:dyDescent="0.2">
      <c r="C276"/>
      <c r="M276"/>
    </row>
    <row r="277" spans="3:13" ht="12.75" customHeight="1" x14ac:dyDescent="0.2">
      <c r="C277"/>
      <c r="M277"/>
    </row>
    <row r="278" spans="3:13" ht="12.75" customHeight="1" x14ac:dyDescent="0.2">
      <c r="C278"/>
      <c r="M278"/>
    </row>
    <row r="279" spans="3:13" ht="12.75" customHeight="1" x14ac:dyDescent="0.2">
      <c r="C279"/>
      <c r="M279"/>
    </row>
    <row r="280" spans="3:13" ht="12.75" customHeight="1" x14ac:dyDescent="0.2">
      <c r="C280"/>
      <c r="M280"/>
    </row>
    <row r="281" spans="3:13" ht="12.75" customHeight="1" x14ac:dyDescent="0.2">
      <c r="C281"/>
      <c r="M281"/>
    </row>
    <row r="282" spans="3:13" ht="12.75" customHeight="1" x14ac:dyDescent="0.2">
      <c r="C282"/>
      <c r="M282"/>
    </row>
    <row r="283" spans="3:13" ht="12.75" customHeight="1" x14ac:dyDescent="0.2">
      <c r="C283"/>
      <c r="M283"/>
    </row>
    <row r="284" spans="3:13" ht="12.75" customHeight="1" x14ac:dyDescent="0.2">
      <c r="C284"/>
      <c r="M284"/>
    </row>
    <row r="285" spans="3:13" ht="12.75" customHeight="1" x14ac:dyDescent="0.2">
      <c r="C285"/>
      <c r="M285"/>
    </row>
    <row r="286" spans="3:13" ht="12.75" customHeight="1" x14ac:dyDescent="0.2">
      <c r="C286"/>
      <c r="M286"/>
    </row>
    <row r="287" spans="3:13" ht="12.75" customHeight="1" x14ac:dyDescent="0.2">
      <c r="C287"/>
      <c r="M287"/>
    </row>
    <row r="288" spans="3:13" ht="12.75" customHeight="1" x14ac:dyDescent="0.2">
      <c r="C288"/>
      <c r="M288"/>
    </row>
    <row r="289" spans="3:13" ht="12.75" customHeight="1" x14ac:dyDescent="0.2">
      <c r="C289"/>
      <c r="M289"/>
    </row>
    <row r="290" spans="3:13" ht="12.75" customHeight="1" x14ac:dyDescent="0.2">
      <c r="C290"/>
      <c r="M290"/>
    </row>
    <row r="291" spans="3:13" ht="12.75" customHeight="1" x14ac:dyDescent="0.2">
      <c r="C291"/>
      <c r="M291"/>
    </row>
    <row r="292" spans="3:13" ht="12.75" customHeight="1" x14ac:dyDescent="0.2">
      <c r="C292"/>
      <c r="M292"/>
    </row>
    <row r="293" spans="3:13" ht="12.75" customHeight="1" x14ac:dyDescent="0.2">
      <c r="C293"/>
      <c r="M293"/>
    </row>
    <row r="294" spans="3:13" ht="12.75" customHeight="1" x14ac:dyDescent="0.2">
      <c r="C294"/>
      <c r="M294"/>
    </row>
    <row r="295" spans="3:13" ht="12.75" customHeight="1" x14ac:dyDescent="0.2">
      <c r="C295"/>
      <c r="M295"/>
    </row>
    <row r="296" spans="3:13" ht="12.75" customHeight="1" x14ac:dyDescent="0.2">
      <c r="C296"/>
      <c r="M296"/>
    </row>
    <row r="297" spans="3:13" ht="12.75" customHeight="1" x14ac:dyDescent="0.2">
      <c r="C297"/>
      <c r="M297"/>
    </row>
    <row r="298" spans="3:13" ht="12.75" customHeight="1" x14ac:dyDescent="0.2">
      <c r="C298"/>
      <c r="M298"/>
    </row>
    <row r="299" spans="3:13" ht="12.75" customHeight="1" x14ac:dyDescent="0.2">
      <c r="C299"/>
      <c r="M299"/>
    </row>
    <row r="300" spans="3:13" ht="12.75" customHeight="1" x14ac:dyDescent="0.2">
      <c r="C300"/>
      <c r="M300"/>
    </row>
    <row r="301" spans="3:13" ht="12.75" customHeight="1" x14ac:dyDescent="0.2">
      <c r="C301"/>
      <c r="M301"/>
    </row>
    <row r="302" spans="3:13" ht="12.75" customHeight="1" x14ac:dyDescent="0.2">
      <c r="C302"/>
      <c r="M302"/>
    </row>
    <row r="303" spans="3:13" ht="12.75" customHeight="1" x14ac:dyDescent="0.2">
      <c r="C303"/>
      <c r="M303"/>
    </row>
    <row r="304" spans="3:13" ht="12.75" customHeight="1" x14ac:dyDescent="0.2">
      <c r="C304"/>
      <c r="M304"/>
    </row>
    <row r="305" spans="3:13" ht="12.75" customHeight="1" x14ac:dyDescent="0.2">
      <c r="C305"/>
      <c r="M305"/>
    </row>
    <row r="306" spans="3:13" ht="12.75" customHeight="1" x14ac:dyDescent="0.2">
      <c r="C306"/>
      <c r="M306"/>
    </row>
    <row r="307" spans="3:13" ht="12.75" customHeight="1" x14ac:dyDescent="0.2">
      <c r="C307"/>
      <c r="M307"/>
    </row>
    <row r="308" spans="3:13" ht="12.75" customHeight="1" x14ac:dyDescent="0.2">
      <c r="C308"/>
      <c r="M308"/>
    </row>
    <row r="309" spans="3:13" ht="12.75" customHeight="1" x14ac:dyDescent="0.2">
      <c r="C309"/>
      <c r="M309"/>
    </row>
    <row r="310" spans="3:13" ht="12.75" customHeight="1" x14ac:dyDescent="0.2">
      <c r="C310"/>
      <c r="M310"/>
    </row>
    <row r="311" spans="3:13" ht="12.75" customHeight="1" x14ac:dyDescent="0.2">
      <c r="C311"/>
      <c r="M311"/>
    </row>
    <row r="312" spans="3:13" ht="12.75" customHeight="1" x14ac:dyDescent="0.2">
      <c r="C312"/>
      <c r="M312"/>
    </row>
    <row r="313" spans="3:13" ht="12.75" customHeight="1" x14ac:dyDescent="0.2">
      <c r="C313"/>
      <c r="M313"/>
    </row>
    <row r="314" spans="3:13" ht="12.75" customHeight="1" x14ac:dyDescent="0.2">
      <c r="C314"/>
      <c r="M314"/>
    </row>
    <row r="315" spans="3:13" ht="12.75" customHeight="1" x14ac:dyDescent="0.2">
      <c r="C315"/>
      <c r="M315"/>
    </row>
    <row r="316" spans="3:13" ht="12.75" customHeight="1" x14ac:dyDescent="0.2">
      <c r="C316"/>
      <c r="M316"/>
    </row>
    <row r="317" spans="3:13" ht="12.75" customHeight="1" x14ac:dyDescent="0.2">
      <c r="C317"/>
      <c r="M317"/>
    </row>
    <row r="318" spans="3:13" ht="12.75" customHeight="1" x14ac:dyDescent="0.2">
      <c r="C318"/>
      <c r="M318"/>
    </row>
    <row r="319" spans="3:13" ht="12.75" customHeight="1" x14ac:dyDescent="0.2">
      <c r="C319"/>
      <c r="M319"/>
    </row>
    <row r="320" spans="3:13" ht="12.75" customHeight="1" x14ac:dyDescent="0.2">
      <c r="C320"/>
      <c r="M320"/>
    </row>
    <row r="321" spans="3:13" ht="12.75" customHeight="1" x14ac:dyDescent="0.2">
      <c r="C321"/>
      <c r="M321"/>
    </row>
    <row r="322" spans="3:13" ht="12.75" customHeight="1" x14ac:dyDescent="0.2">
      <c r="C322"/>
      <c r="M322"/>
    </row>
    <row r="323" spans="3:13" ht="12.75" customHeight="1" x14ac:dyDescent="0.2">
      <c r="C323"/>
      <c r="M323"/>
    </row>
    <row r="324" spans="3:13" ht="12.75" customHeight="1" x14ac:dyDescent="0.2">
      <c r="C324"/>
      <c r="M324"/>
    </row>
    <row r="325" spans="3:13" ht="12.75" customHeight="1" x14ac:dyDescent="0.2">
      <c r="C325"/>
      <c r="M325"/>
    </row>
    <row r="326" spans="3:13" ht="12.75" customHeight="1" x14ac:dyDescent="0.2">
      <c r="C326"/>
      <c r="M326"/>
    </row>
    <row r="327" spans="3:13" ht="12.75" customHeight="1" x14ac:dyDescent="0.2">
      <c r="C327"/>
      <c r="M327"/>
    </row>
    <row r="328" spans="3:13" ht="12.75" customHeight="1" x14ac:dyDescent="0.2">
      <c r="C328"/>
      <c r="M328"/>
    </row>
    <row r="329" spans="3:13" ht="12.75" customHeight="1" x14ac:dyDescent="0.2">
      <c r="C329"/>
      <c r="M329"/>
    </row>
    <row r="330" spans="3:13" ht="12.75" customHeight="1" x14ac:dyDescent="0.2">
      <c r="C330"/>
      <c r="M330"/>
    </row>
    <row r="331" spans="3:13" ht="12.75" customHeight="1" x14ac:dyDescent="0.2">
      <c r="C331"/>
      <c r="M331"/>
    </row>
    <row r="332" spans="3:13" ht="12.75" customHeight="1" x14ac:dyDescent="0.2">
      <c r="C332"/>
      <c r="M332"/>
    </row>
    <row r="333" spans="3:13" ht="12.75" customHeight="1" x14ac:dyDescent="0.2">
      <c r="C333"/>
      <c r="M333"/>
    </row>
    <row r="334" spans="3:13" ht="12.75" customHeight="1" x14ac:dyDescent="0.2">
      <c r="C334"/>
      <c r="M334"/>
    </row>
    <row r="335" spans="3:13" ht="12.75" customHeight="1" x14ac:dyDescent="0.2">
      <c r="C335"/>
      <c r="M335"/>
    </row>
    <row r="336" spans="3:13" ht="12.75" customHeight="1" x14ac:dyDescent="0.2">
      <c r="C336"/>
      <c r="M336"/>
    </row>
    <row r="337" spans="3:13" ht="12.75" customHeight="1" x14ac:dyDescent="0.2">
      <c r="C337"/>
      <c r="M337"/>
    </row>
    <row r="338" spans="3:13" ht="12.75" customHeight="1" x14ac:dyDescent="0.2">
      <c r="C338"/>
      <c r="M338"/>
    </row>
    <row r="339" spans="3:13" ht="12.75" customHeight="1" x14ac:dyDescent="0.2">
      <c r="C339"/>
      <c r="M339"/>
    </row>
    <row r="340" spans="3:13" ht="12.75" customHeight="1" x14ac:dyDescent="0.2">
      <c r="C340"/>
      <c r="M340"/>
    </row>
    <row r="341" spans="3:13" ht="12.75" customHeight="1" x14ac:dyDescent="0.2">
      <c r="C341"/>
      <c r="M341"/>
    </row>
    <row r="342" spans="3:13" ht="12.75" customHeight="1" x14ac:dyDescent="0.2">
      <c r="C342"/>
      <c r="M342"/>
    </row>
    <row r="343" spans="3:13" ht="12.75" customHeight="1" x14ac:dyDescent="0.2">
      <c r="C343"/>
      <c r="M343"/>
    </row>
    <row r="344" spans="3:13" ht="12.75" customHeight="1" x14ac:dyDescent="0.2">
      <c r="C344"/>
      <c r="M344"/>
    </row>
    <row r="345" spans="3:13" ht="12.75" customHeight="1" x14ac:dyDescent="0.2">
      <c r="C345"/>
      <c r="M345"/>
    </row>
    <row r="346" spans="3:13" ht="12.75" customHeight="1" x14ac:dyDescent="0.2">
      <c r="C346"/>
      <c r="M346"/>
    </row>
    <row r="347" spans="3:13" ht="12.75" customHeight="1" x14ac:dyDescent="0.2">
      <c r="C347"/>
      <c r="M347"/>
    </row>
    <row r="348" spans="3:13" ht="12.75" customHeight="1" x14ac:dyDescent="0.2">
      <c r="C348"/>
      <c r="M348"/>
    </row>
    <row r="349" spans="3:13" ht="12.75" customHeight="1" x14ac:dyDescent="0.2">
      <c r="C349"/>
      <c r="M349"/>
    </row>
    <row r="350" spans="3:13" ht="12.75" customHeight="1" x14ac:dyDescent="0.2">
      <c r="C350"/>
      <c r="M350"/>
    </row>
    <row r="351" spans="3:13" ht="12.75" customHeight="1" x14ac:dyDescent="0.2">
      <c r="C351"/>
      <c r="M351"/>
    </row>
    <row r="352" spans="3:13" ht="12.75" customHeight="1" x14ac:dyDescent="0.2">
      <c r="C352"/>
      <c r="M352"/>
    </row>
    <row r="353" spans="3:13" ht="12.75" customHeight="1" x14ac:dyDescent="0.2">
      <c r="C353"/>
      <c r="M353"/>
    </row>
    <row r="354" spans="3:13" ht="12.75" customHeight="1" x14ac:dyDescent="0.2">
      <c r="C354"/>
      <c r="M354"/>
    </row>
    <row r="355" spans="3:13" ht="12.75" customHeight="1" x14ac:dyDescent="0.2">
      <c r="C355"/>
      <c r="M355"/>
    </row>
    <row r="356" spans="3:13" ht="12.75" customHeight="1" x14ac:dyDescent="0.2">
      <c r="C356"/>
      <c r="M356"/>
    </row>
    <row r="357" spans="3:13" ht="12.75" customHeight="1" x14ac:dyDescent="0.2">
      <c r="C357"/>
      <c r="M357"/>
    </row>
    <row r="358" spans="3:13" ht="12.75" customHeight="1" x14ac:dyDescent="0.2">
      <c r="C358"/>
      <c r="M358"/>
    </row>
    <row r="359" spans="3:13" ht="12.75" customHeight="1" x14ac:dyDescent="0.2">
      <c r="C359"/>
      <c r="M359"/>
    </row>
    <row r="360" spans="3:13" ht="12.75" customHeight="1" x14ac:dyDescent="0.2">
      <c r="C360"/>
      <c r="M360"/>
    </row>
    <row r="361" spans="3:13" ht="12.75" customHeight="1" x14ac:dyDescent="0.2">
      <c r="C361"/>
      <c r="M361"/>
    </row>
    <row r="362" spans="3:13" ht="12.75" customHeight="1" x14ac:dyDescent="0.2">
      <c r="C362"/>
      <c r="M362"/>
    </row>
    <row r="363" spans="3:13" ht="12.75" customHeight="1" x14ac:dyDescent="0.2">
      <c r="C363"/>
      <c r="M363"/>
    </row>
    <row r="364" spans="3:13" ht="12.75" customHeight="1" x14ac:dyDescent="0.2">
      <c r="C364"/>
      <c r="M364"/>
    </row>
    <row r="365" spans="3:13" ht="12.75" customHeight="1" x14ac:dyDescent="0.2">
      <c r="C365"/>
      <c r="M365"/>
    </row>
    <row r="366" spans="3:13" ht="12.75" customHeight="1" x14ac:dyDescent="0.2">
      <c r="C366"/>
      <c r="M366"/>
    </row>
    <row r="367" spans="3:13" ht="12.75" customHeight="1" x14ac:dyDescent="0.2">
      <c r="C367"/>
      <c r="M367"/>
    </row>
    <row r="368" spans="3:13" ht="12.75" customHeight="1" x14ac:dyDescent="0.2">
      <c r="C368"/>
      <c r="M368"/>
    </row>
    <row r="369" spans="3:13" ht="12.75" customHeight="1" x14ac:dyDescent="0.2">
      <c r="C369"/>
      <c r="M369"/>
    </row>
    <row r="370" spans="3:13" ht="12.75" customHeight="1" x14ac:dyDescent="0.2">
      <c r="C370"/>
      <c r="M370"/>
    </row>
    <row r="371" spans="3:13" ht="12.75" customHeight="1" x14ac:dyDescent="0.2">
      <c r="C371"/>
      <c r="M371"/>
    </row>
    <row r="372" spans="3:13" ht="12.75" customHeight="1" x14ac:dyDescent="0.2">
      <c r="C372"/>
      <c r="M372"/>
    </row>
    <row r="373" spans="3:13" ht="12.75" customHeight="1" x14ac:dyDescent="0.2">
      <c r="C373"/>
      <c r="M373"/>
    </row>
    <row r="374" spans="3:13" ht="12.75" customHeight="1" x14ac:dyDescent="0.2">
      <c r="C374"/>
      <c r="M374"/>
    </row>
    <row r="375" spans="3:13" ht="12.75" customHeight="1" x14ac:dyDescent="0.2">
      <c r="C375"/>
      <c r="M375"/>
    </row>
    <row r="376" spans="3:13" ht="12.75" customHeight="1" x14ac:dyDescent="0.2">
      <c r="C376"/>
      <c r="M376"/>
    </row>
    <row r="377" spans="3:13" ht="12.75" customHeight="1" x14ac:dyDescent="0.2">
      <c r="C377"/>
      <c r="M377"/>
    </row>
    <row r="378" spans="3:13" ht="12.75" customHeight="1" x14ac:dyDescent="0.2">
      <c r="C378"/>
      <c r="M378"/>
    </row>
    <row r="379" spans="3:13" ht="12.75" customHeight="1" x14ac:dyDescent="0.2">
      <c r="C379"/>
      <c r="M379"/>
    </row>
    <row r="380" spans="3:13" ht="12.75" customHeight="1" x14ac:dyDescent="0.2">
      <c r="C380"/>
      <c r="M380"/>
    </row>
    <row r="381" spans="3:13" ht="12.75" customHeight="1" x14ac:dyDescent="0.2">
      <c r="C381"/>
      <c r="M381"/>
    </row>
    <row r="382" spans="3:13" ht="12.75" customHeight="1" x14ac:dyDescent="0.2">
      <c r="C382"/>
      <c r="M382"/>
    </row>
    <row r="383" spans="3:13" ht="12.75" customHeight="1" x14ac:dyDescent="0.2">
      <c r="C383"/>
      <c r="M383"/>
    </row>
    <row r="384" spans="3:13" ht="12.75" customHeight="1" x14ac:dyDescent="0.2">
      <c r="C384"/>
      <c r="M384"/>
    </row>
    <row r="385" spans="3:13" ht="12.75" customHeight="1" x14ac:dyDescent="0.2">
      <c r="C385"/>
      <c r="M385"/>
    </row>
    <row r="386" spans="3:13" ht="12.75" customHeight="1" x14ac:dyDescent="0.2">
      <c r="C386"/>
      <c r="M386"/>
    </row>
    <row r="387" spans="3:13" ht="12.75" customHeight="1" x14ac:dyDescent="0.2">
      <c r="C387"/>
      <c r="M387"/>
    </row>
    <row r="388" spans="3:13" ht="12.75" customHeight="1" x14ac:dyDescent="0.2">
      <c r="C388"/>
      <c r="M388"/>
    </row>
    <row r="389" spans="3:13" ht="12.75" customHeight="1" x14ac:dyDescent="0.2">
      <c r="C389"/>
      <c r="M389"/>
    </row>
    <row r="390" spans="3:13" ht="12.75" customHeight="1" x14ac:dyDescent="0.2">
      <c r="C390"/>
      <c r="M390"/>
    </row>
    <row r="391" spans="3:13" ht="12.75" customHeight="1" x14ac:dyDescent="0.2">
      <c r="C391"/>
      <c r="M391"/>
    </row>
    <row r="392" spans="3:13" ht="12.75" customHeight="1" x14ac:dyDescent="0.2">
      <c r="C392"/>
      <c r="M392"/>
    </row>
    <row r="393" spans="3:13" ht="12.75" customHeight="1" x14ac:dyDescent="0.2">
      <c r="C393"/>
      <c r="M393"/>
    </row>
    <row r="394" spans="3:13" ht="12.75" customHeight="1" x14ac:dyDescent="0.2">
      <c r="C394"/>
      <c r="M394"/>
    </row>
    <row r="395" spans="3:13" ht="12.75" customHeight="1" x14ac:dyDescent="0.2">
      <c r="C395"/>
      <c r="M395"/>
    </row>
    <row r="396" spans="3:13" ht="12.75" customHeight="1" x14ac:dyDescent="0.2">
      <c r="C396"/>
      <c r="M396"/>
    </row>
    <row r="397" spans="3:13" ht="12.75" customHeight="1" x14ac:dyDescent="0.2">
      <c r="C397"/>
      <c r="M397"/>
    </row>
    <row r="398" spans="3:13" ht="12.75" customHeight="1" x14ac:dyDescent="0.2">
      <c r="C398"/>
      <c r="M398"/>
    </row>
    <row r="399" spans="3:13" ht="12.75" customHeight="1" x14ac:dyDescent="0.2">
      <c r="C399"/>
      <c r="M399"/>
    </row>
    <row r="400" spans="3:13" ht="12.75" customHeight="1" x14ac:dyDescent="0.2">
      <c r="C400"/>
      <c r="M400"/>
    </row>
    <row r="401" spans="3:13" ht="12.75" customHeight="1" x14ac:dyDescent="0.2">
      <c r="C401"/>
      <c r="M401"/>
    </row>
    <row r="402" spans="3:13" ht="12.75" customHeight="1" x14ac:dyDescent="0.2">
      <c r="C402"/>
      <c r="M402"/>
    </row>
    <row r="403" spans="3:13" ht="12.75" customHeight="1" x14ac:dyDescent="0.2">
      <c r="C403"/>
      <c r="M403"/>
    </row>
    <row r="404" spans="3:13" ht="12.75" customHeight="1" x14ac:dyDescent="0.2">
      <c r="C404"/>
      <c r="M404"/>
    </row>
    <row r="405" spans="3:13" ht="12.75" customHeight="1" x14ac:dyDescent="0.2">
      <c r="C405"/>
      <c r="M405"/>
    </row>
    <row r="406" spans="3:13" ht="12.75" customHeight="1" x14ac:dyDescent="0.2">
      <c r="C406"/>
      <c r="M406"/>
    </row>
    <row r="407" spans="3:13" ht="12.75" customHeight="1" x14ac:dyDescent="0.2">
      <c r="C407"/>
      <c r="M407"/>
    </row>
    <row r="408" spans="3:13" ht="12.75" customHeight="1" x14ac:dyDescent="0.2">
      <c r="C408"/>
      <c r="M408"/>
    </row>
    <row r="409" spans="3:13" ht="12.75" customHeight="1" x14ac:dyDescent="0.2">
      <c r="C409"/>
      <c r="M409"/>
    </row>
    <row r="410" spans="3:13" ht="12.75" customHeight="1" x14ac:dyDescent="0.2">
      <c r="C410"/>
      <c r="M410"/>
    </row>
    <row r="411" spans="3:13" ht="12.75" customHeight="1" x14ac:dyDescent="0.2">
      <c r="C411"/>
      <c r="M411"/>
    </row>
    <row r="412" spans="3:13" ht="12.75" customHeight="1" x14ac:dyDescent="0.2">
      <c r="C412"/>
      <c r="M412"/>
    </row>
    <row r="413" spans="3:13" ht="12.75" customHeight="1" x14ac:dyDescent="0.2">
      <c r="C413"/>
      <c r="M413"/>
    </row>
    <row r="414" spans="3:13" ht="12.75" customHeight="1" x14ac:dyDescent="0.2">
      <c r="C414"/>
      <c r="M414"/>
    </row>
    <row r="415" spans="3:13" ht="12.75" customHeight="1" x14ac:dyDescent="0.2">
      <c r="C415"/>
      <c r="M415"/>
    </row>
    <row r="416" spans="3:13" ht="12.75" customHeight="1" x14ac:dyDescent="0.2">
      <c r="C416"/>
      <c r="M416"/>
    </row>
    <row r="417" spans="3:13" ht="12.75" customHeight="1" x14ac:dyDescent="0.2">
      <c r="C417"/>
      <c r="M417"/>
    </row>
    <row r="418" spans="3:13" ht="12.75" customHeight="1" x14ac:dyDescent="0.2">
      <c r="C418"/>
      <c r="M418"/>
    </row>
    <row r="419" spans="3:13" ht="12.75" customHeight="1" x14ac:dyDescent="0.2">
      <c r="C419"/>
      <c r="M419"/>
    </row>
    <row r="420" spans="3:13" ht="12.75" customHeight="1" x14ac:dyDescent="0.2">
      <c r="C420"/>
      <c r="M420"/>
    </row>
    <row r="421" spans="3:13" ht="12.75" customHeight="1" x14ac:dyDescent="0.2">
      <c r="C421"/>
      <c r="M421"/>
    </row>
    <row r="422" spans="3:13" ht="12.75" customHeight="1" x14ac:dyDescent="0.2">
      <c r="C422"/>
      <c r="M422"/>
    </row>
    <row r="423" spans="3:13" ht="12.75" customHeight="1" x14ac:dyDescent="0.2">
      <c r="C423"/>
      <c r="M423"/>
    </row>
    <row r="424" spans="3:13" ht="12.75" customHeight="1" x14ac:dyDescent="0.2">
      <c r="C424"/>
      <c r="M424"/>
    </row>
    <row r="425" spans="3:13" ht="12.75" customHeight="1" x14ac:dyDescent="0.2">
      <c r="C425"/>
      <c r="M425"/>
    </row>
    <row r="426" spans="3:13" ht="12.75" customHeight="1" x14ac:dyDescent="0.2">
      <c r="C426"/>
      <c r="M426"/>
    </row>
    <row r="427" spans="3:13" ht="12.75" customHeight="1" x14ac:dyDescent="0.2">
      <c r="C427"/>
      <c r="M427"/>
    </row>
    <row r="428" spans="3:13" ht="12.75" customHeight="1" x14ac:dyDescent="0.2">
      <c r="C428"/>
      <c r="M428"/>
    </row>
    <row r="429" spans="3:13" ht="12.75" customHeight="1" x14ac:dyDescent="0.2">
      <c r="C429"/>
      <c r="M429"/>
    </row>
    <row r="430" spans="3:13" ht="12.75" customHeight="1" x14ac:dyDescent="0.2">
      <c r="C430"/>
      <c r="M430"/>
    </row>
    <row r="431" spans="3:13" ht="12.75" customHeight="1" x14ac:dyDescent="0.2">
      <c r="C431"/>
      <c r="M431"/>
    </row>
    <row r="432" spans="3:13" ht="12.75" customHeight="1" x14ac:dyDescent="0.2">
      <c r="C432"/>
      <c r="M432"/>
    </row>
    <row r="433" spans="3:13" ht="12.75" customHeight="1" x14ac:dyDescent="0.2">
      <c r="C433"/>
      <c r="M433"/>
    </row>
    <row r="434" spans="3:13" ht="12.75" customHeight="1" x14ac:dyDescent="0.2">
      <c r="C434"/>
      <c r="M434"/>
    </row>
    <row r="435" spans="3:13" ht="12.75" customHeight="1" x14ac:dyDescent="0.2">
      <c r="C435"/>
      <c r="M435"/>
    </row>
    <row r="436" spans="3:13" ht="12.75" customHeight="1" x14ac:dyDescent="0.2">
      <c r="C436"/>
      <c r="M436"/>
    </row>
    <row r="437" spans="3:13" ht="12.75" customHeight="1" x14ac:dyDescent="0.2">
      <c r="C437"/>
      <c r="M437"/>
    </row>
    <row r="438" spans="3:13" ht="12.75" customHeight="1" x14ac:dyDescent="0.2">
      <c r="C438"/>
      <c r="M438"/>
    </row>
    <row r="439" spans="3:13" ht="12.75" customHeight="1" x14ac:dyDescent="0.2">
      <c r="C439"/>
      <c r="M439"/>
    </row>
    <row r="440" spans="3:13" ht="12.75" customHeight="1" x14ac:dyDescent="0.2">
      <c r="C440"/>
      <c r="M440"/>
    </row>
    <row r="441" spans="3:13" ht="12.75" customHeight="1" x14ac:dyDescent="0.2">
      <c r="C441"/>
      <c r="M441"/>
    </row>
    <row r="442" spans="3:13" ht="12.75" customHeight="1" x14ac:dyDescent="0.2">
      <c r="C442"/>
      <c r="M442"/>
    </row>
    <row r="443" spans="3:13" ht="12.75" customHeight="1" x14ac:dyDescent="0.2">
      <c r="C443"/>
      <c r="M443"/>
    </row>
    <row r="444" spans="3:13" ht="12.75" customHeight="1" x14ac:dyDescent="0.2">
      <c r="C444"/>
      <c r="M444"/>
    </row>
    <row r="445" spans="3:13" ht="12.75" customHeight="1" x14ac:dyDescent="0.2">
      <c r="C445"/>
      <c r="M445"/>
    </row>
    <row r="446" spans="3:13" ht="12.75" customHeight="1" x14ac:dyDescent="0.2">
      <c r="C446"/>
      <c r="M446"/>
    </row>
    <row r="447" spans="3:13" ht="12.75" customHeight="1" x14ac:dyDescent="0.2">
      <c r="C447"/>
      <c r="M447"/>
    </row>
    <row r="448" spans="3:13" ht="12.75" customHeight="1" x14ac:dyDescent="0.2">
      <c r="C448"/>
      <c r="M448"/>
    </row>
    <row r="449" spans="3:13" ht="12.75" customHeight="1" x14ac:dyDescent="0.2">
      <c r="C449"/>
      <c r="M449"/>
    </row>
    <row r="450" spans="3:13" ht="12.75" customHeight="1" x14ac:dyDescent="0.2">
      <c r="C450"/>
      <c r="M450"/>
    </row>
    <row r="451" spans="3:13" ht="12.75" customHeight="1" x14ac:dyDescent="0.2">
      <c r="C451"/>
      <c r="M451"/>
    </row>
    <row r="452" spans="3:13" ht="12.75" customHeight="1" x14ac:dyDescent="0.2">
      <c r="C452"/>
      <c r="M452"/>
    </row>
    <row r="453" spans="3:13" ht="12.75" customHeight="1" x14ac:dyDescent="0.2">
      <c r="C453"/>
      <c r="M453"/>
    </row>
    <row r="454" spans="3:13" ht="12.75" customHeight="1" x14ac:dyDescent="0.2">
      <c r="C454"/>
      <c r="M454"/>
    </row>
    <row r="455" spans="3:13" ht="12.75" customHeight="1" x14ac:dyDescent="0.2">
      <c r="C455"/>
      <c r="M455"/>
    </row>
    <row r="456" spans="3:13" ht="12.75" customHeight="1" x14ac:dyDescent="0.2">
      <c r="C456"/>
      <c r="M456"/>
    </row>
    <row r="457" spans="3:13" ht="12.75" customHeight="1" x14ac:dyDescent="0.2">
      <c r="C457"/>
      <c r="M457"/>
    </row>
    <row r="458" spans="3:13" ht="12.75" customHeight="1" x14ac:dyDescent="0.2">
      <c r="C458"/>
      <c r="M458"/>
    </row>
    <row r="459" spans="3:13" ht="12.75" customHeight="1" x14ac:dyDescent="0.2">
      <c r="C459"/>
      <c r="M459"/>
    </row>
    <row r="460" spans="3:13" ht="12.75" customHeight="1" x14ac:dyDescent="0.2">
      <c r="C460"/>
      <c r="M460"/>
    </row>
    <row r="461" spans="3:13" ht="12.75" customHeight="1" x14ac:dyDescent="0.2">
      <c r="C461"/>
      <c r="M461"/>
    </row>
    <row r="462" spans="3:13" ht="12.75" customHeight="1" x14ac:dyDescent="0.2">
      <c r="C462"/>
      <c r="M462"/>
    </row>
    <row r="463" spans="3:13" ht="12.75" customHeight="1" x14ac:dyDescent="0.2">
      <c r="C463"/>
      <c r="M463"/>
    </row>
    <row r="464" spans="3:13" ht="12.75" customHeight="1" x14ac:dyDescent="0.2">
      <c r="C464"/>
      <c r="M464"/>
    </row>
    <row r="465" spans="3:13" ht="12.75" customHeight="1" x14ac:dyDescent="0.2">
      <c r="C465"/>
      <c r="M465"/>
    </row>
    <row r="466" spans="3:13" ht="12.75" customHeight="1" x14ac:dyDescent="0.2">
      <c r="C466"/>
      <c r="M466"/>
    </row>
    <row r="467" spans="3:13" ht="12.75" customHeight="1" x14ac:dyDescent="0.2">
      <c r="C467"/>
      <c r="M467"/>
    </row>
    <row r="468" spans="3:13" ht="12.75" customHeight="1" x14ac:dyDescent="0.2">
      <c r="C468"/>
      <c r="M468"/>
    </row>
    <row r="469" spans="3:13" ht="12.75" customHeight="1" x14ac:dyDescent="0.2">
      <c r="C469"/>
      <c r="M469"/>
    </row>
    <row r="470" spans="3:13" ht="12.75" customHeight="1" x14ac:dyDescent="0.2">
      <c r="C470"/>
      <c r="M470"/>
    </row>
    <row r="471" spans="3:13" ht="12.75" customHeight="1" x14ac:dyDescent="0.2">
      <c r="C471"/>
      <c r="M471"/>
    </row>
    <row r="472" spans="3:13" ht="12.75" customHeight="1" x14ac:dyDescent="0.2">
      <c r="C472"/>
      <c r="M472"/>
    </row>
    <row r="473" spans="3:13" ht="12.75" customHeight="1" x14ac:dyDescent="0.2">
      <c r="C473"/>
      <c r="M473"/>
    </row>
    <row r="474" spans="3:13" ht="12.75" customHeight="1" x14ac:dyDescent="0.2">
      <c r="C474"/>
      <c r="M474"/>
    </row>
    <row r="475" spans="3:13" ht="12.75" customHeight="1" x14ac:dyDescent="0.2">
      <c r="C475"/>
      <c r="M475"/>
    </row>
    <row r="476" spans="3:13" ht="12.75" customHeight="1" x14ac:dyDescent="0.2">
      <c r="C476"/>
      <c r="M476"/>
    </row>
    <row r="477" spans="3:13" ht="12.75" customHeight="1" x14ac:dyDescent="0.2">
      <c r="C477"/>
      <c r="M477"/>
    </row>
    <row r="478" spans="3:13" ht="12.75" customHeight="1" x14ac:dyDescent="0.2">
      <c r="C478"/>
      <c r="M478"/>
    </row>
    <row r="479" spans="3:13" ht="12.75" customHeight="1" x14ac:dyDescent="0.2">
      <c r="C479"/>
      <c r="M479"/>
    </row>
    <row r="480" spans="3:13" ht="12.75" customHeight="1" x14ac:dyDescent="0.2">
      <c r="C480"/>
      <c r="M480"/>
    </row>
    <row r="481" spans="3:13" ht="12.75" customHeight="1" x14ac:dyDescent="0.2">
      <c r="C481"/>
      <c r="M481"/>
    </row>
    <row r="482" spans="3:13" ht="12.75" customHeight="1" x14ac:dyDescent="0.2">
      <c r="C482"/>
      <c r="M482"/>
    </row>
    <row r="483" spans="3:13" ht="12.75" customHeight="1" x14ac:dyDescent="0.2">
      <c r="C483"/>
      <c r="M483"/>
    </row>
    <row r="484" spans="3:13" ht="12.75" customHeight="1" x14ac:dyDescent="0.2">
      <c r="C484"/>
      <c r="M484"/>
    </row>
    <row r="485" spans="3:13" ht="12.75" customHeight="1" x14ac:dyDescent="0.2">
      <c r="C485"/>
      <c r="M485"/>
    </row>
    <row r="486" spans="3:13" ht="12.75" customHeight="1" x14ac:dyDescent="0.2">
      <c r="C486"/>
      <c r="M486"/>
    </row>
    <row r="487" spans="3:13" ht="12.75" customHeight="1" x14ac:dyDescent="0.2">
      <c r="C487"/>
      <c r="M487"/>
    </row>
    <row r="488" spans="3:13" ht="12.75" customHeight="1" x14ac:dyDescent="0.2">
      <c r="C488"/>
      <c r="M488"/>
    </row>
    <row r="489" spans="3:13" ht="12.75" customHeight="1" x14ac:dyDescent="0.2">
      <c r="C489"/>
      <c r="M489"/>
    </row>
    <row r="490" spans="3:13" ht="12.75" customHeight="1" x14ac:dyDescent="0.2">
      <c r="C490"/>
      <c r="M490"/>
    </row>
    <row r="491" spans="3:13" ht="12.75" customHeight="1" x14ac:dyDescent="0.2">
      <c r="C491"/>
      <c r="M491"/>
    </row>
    <row r="492" spans="3:13" ht="12.75" customHeight="1" x14ac:dyDescent="0.2">
      <c r="C492"/>
      <c r="M492"/>
    </row>
    <row r="493" spans="3:13" ht="12.75" customHeight="1" x14ac:dyDescent="0.2">
      <c r="C493"/>
      <c r="M493"/>
    </row>
    <row r="494" spans="3:13" ht="12.75" customHeight="1" x14ac:dyDescent="0.2">
      <c r="C494"/>
      <c r="M494"/>
    </row>
    <row r="495" spans="3:13" ht="12.75" customHeight="1" x14ac:dyDescent="0.2">
      <c r="C495"/>
      <c r="M495"/>
    </row>
    <row r="496" spans="3:13" ht="12.75" customHeight="1" x14ac:dyDescent="0.2">
      <c r="C496"/>
      <c r="M496"/>
    </row>
    <row r="497" spans="3:13" ht="12.75" customHeight="1" x14ac:dyDescent="0.2">
      <c r="C497"/>
      <c r="M497"/>
    </row>
    <row r="498" spans="3:13" ht="12.75" customHeight="1" x14ac:dyDescent="0.2">
      <c r="C498"/>
      <c r="M498"/>
    </row>
    <row r="499" spans="3:13" ht="12.75" customHeight="1" x14ac:dyDescent="0.2">
      <c r="C499"/>
      <c r="M499"/>
    </row>
    <row r="500" spans="3:13" ht="12.75" customHeight="1" x14ac:dyDescent="0.2">
      <c r="C500"/>
      <c r="M500"/>
    </row>
    <row r="501" spans="3:13" ht="12.75" customHeight="1" x14ac:dyDescent="0.2">
      <c r="C501"/>
      <c r="M501"/>
    </row>
    <row r="502" spans="3:13" ht="12.75" customHeight="1" x14ac:dyDescent="0.2">
      <c r="C502"/>
      <c r="M502"/>
    </row>
    <row r="503" spans="3:13" ht="12.75" customHeight="1" x14ac:dyDescent="0.2">
      <c r="C503"/>
      <c r="M503"/>
    </row>
    <row r="504" spans="3:13" ht="12.75" customHeight="1" x14ac:dyDescent="0.2">
      <c r="C504"/>
      <c r="M504"/>
    </row>
    <row r="505" spans="3:13" ht="12.75" customHeight="1" x14ac:dyDescent="0.2">
      <c r="C505"/>
      <c r="M505"/>
    </row>
    <row r="506" spans="3:13" ht="12.75" customHeight="1" x14ac:dyDescent="0.2">
      <c r="C506"/>
      <c r="M506"/>
    </row>
    <row r="507" spans="3:13" ht="12.75" customHeight="1" x14ac:dyDescent="0.2">
      <c r="C507"/>
      <c r="M507"/>
    </row>
    <row r="508" spans="3:13" ht="12.75" customHeight="1" x14ac:dyDescent="0.2">
      <c r="C508"/>
      <c r="M508"/>
    </row>
    <row r="509" spans="3:13" ht="12.75" customHeight="1" x14ac:dyDescent="0.2">
      <c r="C509"/>
      <c r="M509"/>
    </row>
    <row r="510" spans="3:13" ht="12.75" customHeight="1" x14ac:dyDescent="0.2">
      <c r="C510"/>
      <c r="M510"/>
    </row>
    <row r="511" spans="3:13" ht="12.75" customHeight="1" x14ac:dyDescent="0.2">
      <c r="C511"/>
      <c r="M511"/>
    </row>
    <row r="512" spans="3:13" ht="12.75" customHeight="1" x14ac:dyDescent="0.2">
      <c r="C512"/>
      <c r="M512"/>
    </row>
    <row r="513" spans="3:13" ht="12.75" customHeight="1" x14ac:dyDescent="0.2">
      <c r="C513"/>
      <c r="M513"/>
    </row>
    <row r="514" spans="3:13" ht="12.75" customHeight="1" x14ac:dyDescent="0.2">
      <c r="C514"/>
      <c r="M514"/>
    </row>
    <row r="515" spans="3:13" ht="12.75" customHeight="1" x14ac:dyDescent="0.2">
      <c r="C515"/>
      <c r="M515"/>
    </row>
    <row r="516" spans="3:13" ht="12.75" customHeight="1" x14ac:dyDescent="0.2">
      <c r="C516"/>
      <c r="M516"/>
    </row>
    <row r="517" spans="3:13" ht="12.75" customHeight="1" x14ac:dyDescent="0.2">
      <c r="C517"/>
      <c r="M517"/>
    </row>
    <row r="518" spans="3:13" ht="12.75" customHeight="1" x14ac:dyDescent="0.2">
      <c r="C518"/>
      <c r="M518"/>
    </row>
    <row r="519" spans="3:13" ht="12.75" customHeight="1" x14ac:dyDescent="0.2">
      <c r="C519"/>
      <c r="M519"/>
    </row>
    <row r="520" spans="3:13" ht="12.75" customHeight="1" x14ac:dyDescent="0.2">
      <c r="C520"/>
      <c r="M520"/>
    </row>
    <row r="521" spans="3:13" ht="12.75" customHeight="1" x14ac:dyDescent="0.2">
      <c r="C521"/>
      <c r="M521"/>
    </row>
    <row r="522" spans="3:13" ht="12.75" customHeight="1" x14ac:dyDescent="0.2">
      <c r="C522"/>
      <c r="M522"/>
    </row>
    <row r="523" spans="3:13" ht="12.75" customHeight="1" x14ac:dyDescent="0.2">
      <c r="C523"/>
      <c r="M523"/>
    </row>
    <row r="524" spans="3:13" ht="12.75" customHeight="1" x14ac:dyDescent="0.2">
      <c r="C524"/>
      <c r="M524"/>
    </row>
    <row r="525" spans="3:13" ht="12.75" customHeight="1" x14ac:dyDescent="0.2">
      <c r="C525"/>
      <c r="M525"/>
    </row>
    <row r="526" spans="3:13" ht="12.75" customHeight="1" x14ac:dyDescent="0.2">
      <c r="C526"/>
      <c r="M526"/>
    </row>
    <row r="527" spans="3:13" ht="12.75" customHeight="1" x14ac:dyDescent="0.2">
      <c r="C527"/>
      <c r="M527"/>
    </row>
    <row r="528" spans="3:13" ht="12.75" customHeight="1" x14ac:dyDescent="0.2">
      <c r="C528"/>
      <c r="M528"/>
    </row>
    <row r="529" spans="3:13" ht="12.75" customHeight="1" x14ac:dyDescent="0.2">
      <c r="C529"/>
      <c r="M529"/>
    </row>
    <row r="530" spans="3:13" ht="12.75" customHeight="1" x14ac:dyDescent="0.2">
      <c r="C530"/>
      <c r="M530"/>
    </row>
    <row r="531" spans="3:13" ht="12.75" customHeight="1" x14ac:dyDescent="0.2">
      <c r="C531"/>
      <c r="M531"/>
    </row>
    <row r="532" spans="3:13" ht="12.75" customHeight="1" x14ac:dyDescent="0.2">
      <c r="C532"/>
      <c r="M532"/>
    </row>
    <row r="533" spans="3:13" ht="12.75" customHeight="1" x14ac:dyDescent="0.2">
      <c r="C533"/>
      <c r="M533"/>
    </row>
    <row r="534" spans="3:13" ht="12.75" customHeight="1" x14ac:dyDescent="0.2">
      <c r="C534"/>
      <c r="M534"/>
    </row>
    <row r="535" spans="3:13" ht="12.75" customHeight="1" x14ac:dyDescent="0.2">
      <c r="C535"/>
      <c r="M535"/>
    </row>
    <row r="536" spans="3:13" ht="12.75" customHeight="1" x14ac:dyDescent="0.2">
      <c r="C536"/>
      <c r="M536"/>
    </row>
    <row r="537" spans="3:13" ht="12.75" customHeight="1" x14ac:dyDescent="0.2">
      <c r="C537"/>
      <c r="M537"/>
    </row>
    <row r="538" spans="3:13" ht="12.75" customHeight="1" x14ac:dyDescent="0.2">
      <c r="C538"/>
      <c r="M538"/>
    </row>
    <row r="539" spans="3:13" ht="12.75" customHeight="1" x14ac:dyDescent="0.2">
      <c r="C539"/>
      <c r="M539"/>
    </row>
    <row r="540" spans="3:13" ht="12.75" customHeight="1" x14ac:dyDescent="0.2">
      <c r="C540"/>
      <c r="M540"/>
    </row>
    <row r="541" spans="3:13" ht="12.75" customHeight="1" x14ac:dyDescent="0.2">
      <c r="C541"/>
      <c r="M541"/>
    </row>
    <row r="542" spans="3:13" ht="12.75" customHeight="1" x14ac:dyDescent="0.2">
      <c r="C542"/>
      <c r="M542"/>
    </row>
    <row r="543" spans="3:13" ht="12.75" customHeight="1" x14ac:dyDescent="0.2">
      <c r="C543"/>
      <c r="M543"/>
    </row>
    <row r="544" spans="3:13" ht="12.75" customHeight="1" x14ac:dyDescent="0.2">
      <c r="C544"/>
      <c r="M544"/>
    </row>
    <row r="545" spans="3:13" ht="12.75" customHeight="1" x14ac:dyDescent="0.2">
      <c r="C545"/>
      <c r="M545"/>
    </row>
    <row r="546" spans="3:13" ht="12.75" customHeight="1" x14ac:dyDescent="0.2">
      <c r="C546"/>
      <c r="M546"/>
    </row>
    <row r="547" spans="3:13" ht="12.75" customHeight="1" x14ac:dyDescent="0.2">
      <c r="C547"/>
      <c r="M547"/>
    </row>
    <row r="548" spans="3:13" ht="12.75" customHeight="1" x14ac:dyDescent="0.2">
      <c r="C548"/>
      <c r="M548"/>
    </row>
    <row r="549" spans="3:13" ht="12.75" customHeight="1" x14ac:dyDescent="0.2">
      <c r="C549"/>
      <c r="M549"/>
    </row>
    <row r="550" spans="3:13" ht="12.75" customHeight="1" x14ac:dyDescent="0.2">
      <c r="C550"/>
      <c r="M550"/>
    </row>
    <row r="551" spans="3:13" ht="12.75" customHeight="1" x14ac:dyDescent="0.2">
      <c r="C551"/>
      <c r="M551"/>
    </row>
    <row r="552" spans="3:13" ht="12.75" customHeight="1" x14ac:dyDescent="0.2">
      <c r="C552"/>
      <c r="M552"/>
    </row>
    <row r="553" spans="3:13" ht="12.75" customHeight="1" x14ac:dyDescent="0.2">
      <c r="C553"/>
      <c r="M553"/>
    </row>
    <row r="554" spans="3:13" ht="12.75" customHeight="1" x14ac:dyDescent="0.2">
      <c r="C554"/>
      <c r="M554"/>
    </row>
    <row r="555" spans="3:13" ht="12.75" customHeight="1" x14ac:dyDescent="0.2">
      <c r="C555"/>
      <c r="M555"/>
    </row>
    <row r="556" spans="3:13" ht="12.75" customHeight="1" x14ac:dyDescent="0.2">
      <c r="C556"/>
      <c r="M556"/>
    </row>
    <row r="557" spans="3:13" ht="12.75" customHeight="1" x14ac:dyDescent="0.2">
      <c r="C557"/>
      <c r="M557"/>
    </row>
    <row r="558" spans="3:13" ht="12.75" customHeight="1" x14ac:dyDescent="0.2">
      <c r="C558"/>
      <c r="M558"/>
    </row>
    <row r="559" spans="3:13" ht="12.75" customHeight="1" x14ac:dyDescent="0.2">
      <c r="C559"/>
      <c r="M559"/>
    </row>
    <row r="560" spans="3:13" ht="12.75" customHeight="1" x14ac:dyDescent="0.2">
      <c r="C560"/>
      <c r="M560"/>
    </row>
    <row r="561" spans="3:13" ht="12.75" customHeight="1" x14ac:dyDescent="0.2">
      <c r="C561"/>
      <c r="M561"/>
    </row>
    <row r="562" spans="3:13" ht="12.75" customHeight="1" x14ac:dyDescent="0.2">
      <c r="C562"/>
      <c r="M562"/>
    </row>
    <row r="563" spans="3:13" ht="12.75" customHeight="1" x14ac:dyDescent="0.2">
      <c r="C563"/>
      <c r="M563"/>
    </row>
    <row r="564" spans="3:13" ht="12.75" customHeight="1" x14ac:dyDescent="0.2">
      <c r="C564"/>
      <c r="M564"/>
    </row>
    <row r="565" spans="3:13" ht="12.75" customHeight="1" x14ac:dyDescent="0.2">
      <c r="C565"/>
      <c r="M565"/>
    </row>
    <row r="566" spans="3:13" ht="12.75" customHeight="1" x14ac:dyDescent="0.2">
      <c r="C566"/>
      <c r="M566"/>
    </row>
    <row r="567" spans="3:13" ht="12.75" customHeight="1" x14ac:dyDescent="0.2">
      <c r="C567"/>
      <c r="M567"/>
    </row>
    <row r="568" spans="3:13" ht="12.75" customHeight="1" x14ac:dyDescent="0.2">
      <c r="C568"/>
      <c r="M568"/>
    </row>
    <row r="569" spans="3:13" ht="12.75" customHeight="1" x14ac:dyDescent="0.2">
      <c r="C569"/>
      <c r="M569"/>
    </row>
    <row r="570" spans="3:13" ht="12.75" customHeight="1" x14ac:dyDescent="0.2">
      <c r="C570"/>
      <c r="M570"/>
    </row>
    <row r="571" spans="3:13" ht="12.75" customHeight="1" x14ac:dyDescent="0.2">
      <c r="C571"/>
      <c r="M571"/>
    </row>
    <row r="572" spans="3:13" ht="12.75" customHeight="1" x14ac:dyDescent="0.2">
      <c r="C572"/>
      <c r="M572"/>
    </row>
    <row r="573" spans="3:13" ht="12.75" customHeight="1" x14ac:dyDescent="0.2">
      <c r="C573"/>
      <c r="M573"/>
    </row>
    <row r="574" spans="3:13" ht="12.75" customHeight="1" x14ac:dyDescent="0.2">
      <c r="C574"/>
      <c r="M574"/>
    </row>
    <row r="575" spans="3:13" ht="12.75" customHeight="1" x14ac:dyDescent="0.2">
      <c r="C575"/>
      <c r="M575"/>
    </row>
    <row r="576" spans="3:13" ht="12.75" customHeight="1" x14ac:dyDescent="0.2">
      <c r="C576"/>
      <c r="M576"/>
    </row>
    <row r="577" spans="3:13" ht="12.75" customHeight="1" x14ac:dyDescent="0.2">
      <c r="C577"/>
      <c r="M577"/>
    </row>
    <row r="578" spans="3:13" ht="12.75" customHeight="1" x14ac:dyDescent="0.2">
      <c r="C578"/>
      <c r="M578"/>
    </row>
    <row r="579" spans="3:13" ht="12.75" customHeight="1" x14ac:dyDescent="0.2">
      <c r="C579"/>
      <c r="M579"/>
    </row>
    <row r="580" spans="3:13" ht="12.75" customHeight="1" x14ac:dyDescent="0.2">
      <c r="C580"/>
      <c r="M580"/>
    </row>
    <row r="581" spans="3:13" ht="12.75" customHeight="1" x14ac:dyDescent="0.2">
      <c r="C581"/>
      <c r="M581"/>
    </row>
    <row r="582" spans="3:13" ht="12.75" customHeight="1" x14ac:dyDescent="0.2">
      <c r="C582"/>
      <c r="M582"/>
    </row>
    <row r="583" spans="3:13" ht="12.75" customHeight="1" x14ac:dyDescent="0.2">
      <c r="C583"/>
      <c r="M583"/>
    </row>
    <row r="584" spans="3:13" ht="12.75" customHeight="1" x14ac:dyDescent="0.2">
      <c r="C584"/>
      <c r="M584"/>
    </row>
    <row r="585" spans="3:13" ht="12.75" customHeight="1" x14ac:dyDescent="0.2">
      <c r="C585"/>
      <c r="M585"/>
    </row>
    <row r="586" spans="3:13" ht="12.75" customHeight="1" x14ac:dyDescent="0.2">
      <c r="C586"/>
      <c r="M586"/>
    </row>
    <row r="587" spans="3:13" ht="12.75" customHeight="1" x14ac:dyDescent="0.2">
      <c r="C587"/>
      <c r="M587"/>
    </row>
    <row r="588" spans="3:13" ht="12.75" customHeight="1" x14ac:dyDescent="0.2">
      <c r="C588"/>
      <c r="M588"/>
    </row>
    <row r="589" spans="3:13" ht="12.75" customHeight="1" x14ac:dyDescent="0.2">
      <c r="C589"/>
      <c r="M589"/>
    </row>
    <row r="590" spans="3:13" ht="12.75" customHeight="1" x14ac:dyDescent="0.2">
      <c r="C590"/>
      <c r="M590"/>
    </row>
    <row r="591" spans="3:13" ht="12.75" customHeight="1" x14ac:dyDescent="0.2">
      <c r="C591"/>
      <c r="M591"/>
    </row>
    <row r="592" spans="3:13" ht="12.75" customHeight="1" x14ac:dyDescent="0.2">
      <c r="C592"/>
      <c r="M592"/>
    </row>
    <row r="593" spans="3:13" ht="12.75" customHeight="1" x14ac:dyDescent="0.2">
      <c r="C593"/>
      <c r="M593"/>
    </row>
    <row r="594" spans="3:13" ht="12.75" customHeight="1" x14ac:dyDescent="0.2">
      <c r="C594"/>
      <c r="M594"/>
    </row>
    <row r="595" spans="3:13" ht="12.75" customHeight="1" x14ac:dyDescent="0.2">
      <c r="C595"/>
      <c r="M595"/>
    </row>
    <row r="596" spans="3:13" ht="12.75" customHeight="1" x14ac:dyDescent="0.2">
      <c r="C596"/>
      <c r="M596"/>
    </row>
    <row r="597" spans="3:13" ht="12.75" customHeight="1" x14ac:dyDescent="0.2">
      <c r="C597"/>
      <c r="M597"/>
    </row>
    <row r="598" spans="3:13" ht="12.75" customHeight="1" x14ac:dyDescent="0.2">
      <c r="C598"/>
      <c r="M598"/>
    </row>
    <row r="599" spans="3:13" ht="12.75" customHeight="1" x14ac:dyDescent="0.2">
      <c r="C599"/>
      <c r="M599"/>
    </row>
    <row r="600" spans="3:13" ht="12.75" customHeight="1" x14ac:dyDescent="0.2">
      <c r="C600"/>
      <c r="M600"/>
    </row>
    <row r="601" spans="3:13" ht="12.75" customHeight="1" x14ac:dyDescent="0.2">
      <c r="C601"/>
      <c r="M601"/>
    </row>
    <row r="602" spans="3:13" ht="12.75" customHeight="1" x14ac:dyDescent="0.2">
      <c r="C602"/>
      <c r="M602"/>
    </row>
    <row r="603" spans="3:13" ht="12.75" customHeight="1" x14ac:dyDescent="0.2">
      <c r="C603"/>
      <c r="M603"/>
    </row>
    <row r="604" spans="3:13" ht="12.75" customHeight="1" x14ac:dyDescent="0.2">
      <c r="C604"/>
      <c r="M604"/>
    </row>
    <row r="605" spans="3:13" ht="12.75" customHeight="1" x14ac:dyDescent="0.2">
      <c r="C605"/>
      <c r="M605"/>
    </row>
    <row r="606" spans="3:13" ht="12.75" customHeight="1" x14ac:dyDescent="0.2">
      <c r="C606"/>
      <c r="M606"/>
    </row>
    <row r="607" spans="3:13" ht="12.75" customHeight="1" x14ac:dyDescent="0.2">
      <c r="C607"/>
      <c r="M607"/>
    </row>
    <row r="608" spans="3:13" ht="12.75" customHeight="1" x14ac:dyDescent="0.2">
      <c r="C608"/>
      <c r="M608"/>
    </row>
    <row r="609" spans="3:13" ht="12.75" customHeight="1" x14ac:dyDescent="0.2">
      <c r="C609"/>
      <c r="M609"/>
    </row>
    <row r="610" spans="3:13" ht="12.75" customHeight="1" x14ac:dyDescent="0.2">
      <c r="C610"/>
      <c r="M610"/>
    </row>
    <row r="611" spans="3:13" ht="12.75" customHeight="1" x14ac:dyDescent="0.2">
      <c r="C611"/>
      <c r="M611"/>
    </row>
    <row r="612" spans="3:13" ht="12.75" customHeight="1" x14ac:dyDescent="0.2">
      <c r="C612"/>
      <c r="M612"/>
    </row>
    <row r="613" spans="3:13" ht="12.75" customHeight="1" x14ac:dyDescent="0.2">
      <c r="C613"/>
      <c r="M613"/>
    </row>
    <row r="614" spans="3:13" ht="12.75" customHeight="1" x14ac:dyDescent="0.2">
      <c r="C614"/>
      <c r="M614"/>
    </row>
    <row r="615" spans="3:13" ht="12.75" customHeight="1" x14ac:dyDescent="0.2">
      <c r="C615"/>
      <c r="M615"/>
    </row>
    <row r="616" spans="3:13" ht="12.75" customHeight="1" x14ac:dyDescent="0.2">
      <c r="C616"/>
      <c r="M616"/>
    </row>
    <row r="617" spans="3:13" ht="12.75" customHeight="1" x14ac:dyDescent="0.2">
      <c r="C617"/>
      <c r="M617"/>
    </row>
    <row r="618" spans="3:13" ht="12.75" customHeight="1" x14ac:dyDescent="0.2">
      <c r="C618"/>
      <c r="M618"/>
    </row>
    <row r="619" spans="3:13" ht="12.75" customHeight="1" x14ac:dyDescent="0.2">
      <c r="C619"/>
      <c r="M619"/>
    </row>
    <row r="620" spans="3:13" ht="12.75" customHeight="1" x14ac:dyDescent="0.2">
      <c r="C620"/>
      <c r="M620"/>
    </row>
    <row r="621" spans="3:13" ht="12.75" customHeight="1" x14ac:dyDescent="0.2">
      <c r="C621"/>
      <c r="M621"/>
    </row>
    <row r="622" spans="3:13" ht="12.75" customHeight="1" x14ac:dyDescent="0.2">
      <c r="C622"/>
      <c r="M622"/>
    </row>
    <row r="623" spans="3:13" ht="12.75" customHeight="1" x14ac:dyDescent="0.2">
      <c r="C623"/>
      <c r="M623"/>
    </row>
    <row r="624" spans="3:13" ht="12.75" customHeight="1" x14ac:dyDescent="0.2">
      <c r="C624"/>
      <c r="M624"/>
    </row>
    <row r="625" spans="3:13" ht="12.75" customHeight="1" x14ac:dyDescent="0.2">
      <c r="C625"/>
      <c r="M625"/>
    </row>
    <row r="626" spans="3:13" ht="12.75" customHeight="1" x14ac:dyDescent="0.2">
      <c r="C626"/>
      <c r="M626"/>
    </row>
    <row r="627" spans="3:13" ht="12.75" customHeight="1" x14ac:dyDescent="0.2">
      <c r="C627"/>
      <c r="M627"/>
    </row>
    <row r="628" spans="3:13" ht="12.75" customHeight="1" x14ac:dyDescent="0.2">
      <c r="C628"/>
      <c r="M628"/>
    </row>
    <row r="629" spans="3:13" ht="12.75" customHeight="1" x14ac:dyDescent="0.2">
      <c r="C629"/>
      <c r="M629"/>
    </row>
    <row r="630" spans="3:13" ht="12.75" customHeight="1" x14ac:dyDescent="0.2">
      <c r="C630"/>
      <c r="M630"/>
    </row>
    <row r="631" spans="3:13" ht="12.75" customHeight="1" x14ac:dyDescent="0.2">
      <c r="C631"/>
      <c r="M631"/>
    </row>
    <row r="632" spans="3:13" ht="12.75" customHeight="1" x14ac:dyDescent="0.2">
      <c r="C632"/>
      <c r="M632"/>
    </row>
    <row r="633" spans="3:13" ht="12.75" customHeight="1" x14ac:dyDescent="0.2">
      <c r="C633"/>
      <c r="M633"/>
    </row>
    <row r="634" spans="3:13" ht="12.75" customHeight="1" x14ac:dyDescent="0.2">
      <c r="C634"/>
      <c r="M634"/>
    </row>
    <row r="635" spans="3:13" ht="12.75" customHeight="1" x14ac:dyDescent="0.2">
      <c r="C635"/>
      <c r="M635"/>
    </row>
    <row r="636" spans="3:13" ht="12.75" customHeight="1" x14ac:dyDescent="0.2">
      <c r="C636"/>
      <c r="M636"/>
    </row>
    <row r="637" spans="3:13" ht="12.75" customHeight="1" x14ac:dyDescent="0.2">
      <c r="C637"/>
      <c r="M637"/>
    </row>
    <row r="638" spans="3:13" ht="12.75" customHeight="1" x14ac:dyDescent="0.2">
      <c r="C638"/>
      <c r="M638"/>
    </row>
    <row r="639" spans="3:13" ht="12.75" customHeight="1" x14ac:dyDescent="0.2">
      <c r="C639"/>
      <c r="M639"/>
    </row>
    <row r="640" spans="3:13" ht="12.75" customHeight="1" x14ac:dyDescent="0.2">
      <c r="C640"/>
      <c r="M640"/>
    </row>
    <row r="641" spans="3:13" ht="12.75" customHeight="1" x14ac:dyDescent="0.2">
      <c r="C641"/>
      <c r="M641"/>
    </row>
    <row r="642" spans="3:13" ht="12.75" customHeight="1" x14ac:dyDescent="0.2">
      <c r="C642"/>
      <c r="M642"/>
    </row>
    <row r="643" spans="3:13" ht="12.75" customHeight="1" x14ac:dyDescent="0.2">
      <c r="C643"/>
      <c r="M643"/>
    </row>
    <row r="644" spans="3:13" ht="12.75" customHeight="1" x14ac:dyDescent="0.2">
      <c r="C644"/>
      <c r="M644"/>
    </row>
    <row r="645" spans="3:13" ht="12.75" customHeight="1" x14ac:dyDescent="0.2">
      <c r="C645"/>
      <c r="M645"/>
    </row>
    <row r="646" spans="3:13" ht="12.75" customHeight="1" x14ac:dyDescent="0.2">
      <c r="C646"/>
      <c r="M646"/>
    </row>
    <row r="647" spans="3:13" ht="12.75" customHeight="1" x14ac:dyDescent="0.2">
      <c r="C647"/>
      <c r="M647"/>
    </row>
    <row r="648" spans="3:13" ht="12.75" customHeight="1" x14ac:dyDescent="0.2">
      <c r="C648"/>
      <c r="M648"/>
    </row>
    <row r="649" spans="3:13" ht="12.75" customHeight="1" x14ac:dyDescent="0.2">
      <c r="C649"/>
      <c r="M649"/>
    </row>
    <row r="650" spans="3:13" ht="12.75" customHeight="1" x14ac:dyDescent="0.2">
      <c r="C650"/>
      <c r="M650"/>
    </row>
    <row r="651" spans="3:13" ht="12.75" customHeight="1" x14ac:dyDescent="0.2">
      <c r="C651"/>
      <c r="M651"/>
    </row>
    <row r="652" spans="3:13" ht="12.75" customHeight="1" x14ac:dyDescent="0.2">
      <c r="C652"/>
      <c r="M652"/>
    </row>
    <row r="653" spans="3:13" ht="12.75" customHeight="1" x14ac:dyDescent="0.2">
      <c r="C653"/>
      <c r="M653"/>
    </row>
    <row r="654" spans="3:13" ht="12.75" customHeight="1" x14ac:dyDescent="0.2">
      <c r="C654"/>
      <c r="M654"/>
    </row>
    <row r="655" spans="3:13" ht="12.75" customHeight="1" x14ac:dyDescent="0.2">
      <c r="C655"/>
      <c r="M655"/>
    </row>
    <row r="656" spans="3:13" ht="12.75" customHeight="1" x14ac:dyDescent="0.2">
      <c r="C656"/>
      <c r="M656"/>
    </row>
    <row r="657" spans="3:13" ht="12.75" customHeight="1" x14ac:dyDescent="0.2">
      <c r="C657"/>
      <c r="M657"/>
    </row>
    <row r="658" spans="3:13" ht="12.75" customHeight="1" x14ac:dyDescent="0.2">
      <c r="C658"/>
      <c r="M658"/>
    </row>
    <row r="659" spans="3:13" ht="12.75" customHeight="1" x14ac:dyDescent="0.2">
      <c r="C659"/>
      <c r="M659"/>
    </row>
    <row r="660" spans="3:13" ht="12.75" customHeight="1" x14ac:dyDescent="0.2">
      <c r="C660"/>
      <c r="M660"/>
    </row>
    <row r="661" spans="3:13" ht="12.75" customHeight="1" x14ac:dyDescent="0.2">
      <c r="C661"/>
      <c r="M661"/>
    </row>
    <row r="662" spans="3:13" ht="12.75" customHeight="1" x14ac:dyDescent="0.2">
      <c r="C662"/>
      <c r="M662"/>
    </row>
    <row r="663" spans="3:13" ht="12.75" customHeight="1" x14ac:dyDescent="0.2">
      <c r="C663"/>
      <c r="M663"/>
    </row>
    <row r="664" spans="3:13" ht="12.75" customHeight="1" x14ac:dyDescent="0.2">
      <c r="C664"/>
      <c r="M664"/>
    </row>
    <row r="665" spans="3:13" ht="12.75" customHeight="1" x14ac:dyDescent="0.2">
      <c r="C665"/>
      <c r="M665"/>
    </row>
    <row r="666" spans="3:13" ht="12.75" customHeight="1" x14ac:dyDescent="0.2">
      <c r="C666"/>
      <c r="M666"/>
    </row>
    <row r="667" spans="3:13" ht="12.75" customHeight="1" x14ac:dyDescent="0.2">
      <c r="C667"/>
      <c r="M667"/>
    </row>
    <row r="668" spans="3:13" ht="12.75" customHeight="1" x14ac:dyDescent="0.2">
      <c r="C668"/>
      <c r="M668"/>
    </row>
    <row r="669" spans="3:13" ht="12.75" customHeight="1" x14ac:dyDescent="0.2">
      <c r="C669"/>
      <c r="M669"/>
    </row>
    <row r="670" spans="3:13" ht="12.75" customHeight="1" x14ac:dyDescent="0.2">
      <c r="C670"/>
      <c r="M670"/>
    </row>
    <row r="671" spans="3:13" ht="12.75" customHeight="1" x14ac:dyDescent="0.2">
      <c r="C671"/>
      <c r="M671"/>
    </row>
    <row r="672" spans="3:13" ht="12.75" customHeight="1" x14ac:dyDescent="0.2">
      <c r="C672"/>
      <c r="M672"/>
    </row>
    <row r="673" spans="3:13" ht="12.75" customHeight="1" x14ac:dyDescent="0.2">
      <c r="C673"/>
      <c r="M673"/>
    </row>
    <row r="674" spans="3:13" ht="12.75" customHeight="1" x14ac:dyDescent="0.2">
      <c r="C674"/>
      <c r="M674"/>
    </row>
    <row r="675" spans="3:13" ht="12.75" customHeight="1" x14ac:dyDescent="0.2">
      <c r="C675"/>
      <c r="M675"/>
    </row>
    <row r="676" spans="3:13" ht="12.75" customHeight="1" x14ac:dyDescent="0.2">
      <c r="C676"/>
      <c r="M676"/>
    </row>
    <row r="677" spans="3:13" ht="12.75" customHeight="1" x14ac:dyDescent="0.2">
      <c r="C677"/>
      <c r="M677"/>
    </row>
    <row r="678" spans="3:13" ht="12.75" customHeight="1" x14ac:dyDescent="0.2">
      <c r="C678"/>
      <c r="M678"/>
    </row>
    <row r="679" spans="3:13" ht="12.75" customHeight="1" x14ac:dyDescent="0.2">
      <c r="C679"/>
      <c r="M679"/>
    </row>
    <row r="680" spans="3:13" ht="12.75" customHeight="1" x14ac:dyDescent="0.2">
      <c r="C680"/>
      <c r="M680"/>
    </row>
    <row r="681" spans="3:13" ht="12.75" customHeight="1" x14ac:dyDescent="0.2">
      <c r="C681"/>
      <c r="M681"/>
    </row>
    <row r="682" spans="3:13" ht="12.75" customHeight="1" x14ac:dyDescent="0.2">
      <c r="C682"/>
      <c r="M682"/>
    </row>
    <row r="683" spans="3:13" ht="12.75" customHeight="1" x14ac:dyDescent="0.2">
      <c r="C683"/>
      <c r="M683"/>
    </row>
    <row r="684" spans="3:13" ht="12.75" customHeight="1" x14ac:dyDescent="0.2">
      <c r="C684"/>
      <c r="M684"/>
    </row>
    <row r="685" spans="3:13" ht="12.75" customHeight="1" x14ac:dyDescent="0.2">
      <c r="C685"/>
      <c r="M685"/>
    </row>
    <row r="686" spans="3:13" ht="12.75" customHeight="1" x14ac:dyDescent="0.2">
      <c r="C686"/>
      <c r="M686"/>
    </row>
    <row r="687" spans="3:13" ht="12.75" customHeight="1" x14ac:dyDescent="0.2">
      <c r="C687"/>
      <c r="M687"/>
    </row>
    <row r="688" spans="3:13" ht="12.75" customHeight="1" x14ac:dyDescent="0.2">
      <c r="C688"/>
      <c r="M688"/>
    </row>
    <row r="689" spans="3:13" ht="12.75" customHeight="1" x14ac:dyDescent="0.2">
      <c r="C689"/>
      <c r="M689"/>
    </row>
    <row r="690" spans="3:13" ht="12.75" customHeight="1" x14ac:dyDescent="0.2">
      <c r="C690"/>
      <c r="M690"/>
    </row>
    <row r="691" spans="3:13" ht="12.75" customHeight="1" x14ac:dyDescent="0.2">
      <c r="C691"/>
      <c r="M691"/>
    </row>
    <row r="692" spans="3:13" ht="12.75" customHeight="1" x14ac:dyDescent="0.2">
      <c r="C692"/>
      <c r="M692"/>
    </row>
    <row r="693" spans="3:13" ht="12.75" customHeight="1" x14ac:dyDescent="0.2">
      <c r="C693"/>
      <c r="M693"/>
    </row>
    <row r="694" spans="3:13" ht="12.75" customHeight="1" x14ac:dyDescent="0.2">
      <c r="C694"/>
      <c r="M694"/>
    </row>
    <row r="695" spans="3:13" ht="12.75" customHeight="1" x14ac:dyDescent="0.2">
      <c r="C695"/>
      <c r="M695"/>
    </row>
    <row r="696" spans="3:13" ht="12.75" customHeight="1" x14ac:dyDescent="0.2">
      <c r="C696"/>
      <c r="M696"/>
    </row>
    <row r="697" spans="3:13" ht="12.75" customHeight="1" x14ac:dyDescent="0.2">
      <c r="C697"/>
      <c r="M697"/>
    </row>
    <row r="698" spans="3:13" ht="12.75" customHeight="1" x14ac:dyDescent="0.2">
      <c r="C698"/>
      <c r="M698"/>
    </row>
    <row r="699" spans="3:13" ht="12.75" customHeight="1" x14ac:dyDescent="0.2">
      <c r="C699"/>
      <c r="M699"/>
    </row>
    <row r="700" spans="3:13" ht="12.75" customHeight="1" x14ac:dyDescent="0.2">
      <c r="C700"/>
      <c r="M700"/>
    </row>
    <row r="701" spans="3:13" ht="12.75" customHeight="1" x14ac:dyDescent="0.2">
      <c r="C701"/>
      <c r="M701"/>
    </row>
    <row r="702" spans="3:13" ht="12.75" customHeight="1" x14ac:dyDescent="0.2">
      <c r="C702"/>
      <c r="M702"/>
    </row>
    <row r="703" spans="3:13" ht="12.75" customHeight="1" x14ac:dyDescent="0.2">
      <c r="C703"/>
      <c r="M703"/>
    </row>
    <row r="704" spans="3:13" ht="12.75" customHeight="1" x14ac:dyDescent="0.2">
      <c r="C704"/>
      <c r="M704"/>
    </row>
    <row r="705" spans="3:13" ht="12.75" customHeight="1" x14ac:dyDescent="0.2">
      <c r="C705"/>
      <c r="M705"/>
    </row>
    <row r="706" spans="3:13" ht="12.75" customHeight="1" x14ac:dyDescent="0.2">
      <c r="C706"/>
      <c r="M706"/>
    </row>
    <row r="707" spans="3:13" ht="12.75" customHeight="1" x14ac:dyDescent="0.2">
      <c r="C707"/>
      <c r="M707"/>
    </row>
    <row r="708" spans="3:13" ht="12.75" customHeight="1" x14ac:dyDescent="0.2">
      <c r="C708"/>
      <c r="M708"/>
    </row>
    <row r="709" spans="3:13" ht="12.75" customHeight="1" x14ac:dyDescent="0.2">
      <c r="C709"/>
      <c r="M709"/>
    </row>
    <row r="710" spans="3:13" ht="12.75" customHeight="1" x14ac:dyDescent="0.2">
      <c r="C710"/>
      <c r="M710"/>
    </row>
    <row r="711" spans="3:13" ht="12.75" customHeight="1" x14ac:dyDescent="0.2">
      <c r="C711"/>
      <c r="M711"/>
    </row>
    <row r="712" spans="3:13" ht="12.75" customHeight="1" x14ac:dyDescent="0.2">
      <c r="C712"/>
      <c r="M712"/>
    </row>
    <row r="713" spans="3:13" ht="12.75" customHeight="1" x14ac:dyDescent="0.2">
      <c r="C713"/>
      <c r="M713"/>
    </row>
    <row r="714" spans="3:13" ht="12.75" customHeight="1" x14ac:dyDescent="0.2">
      <c r="C714"/>
      <c r="M714"/>
    </row>
    <row r="715" spans="3:13" ht="12.75" customHeight="1" x14ac:dyDescent="0.2">
      <c r="C715"/>
      <c r="M715"/>
    </row>
    <row r="716" spans="3:13" ht="12.75" customHeight="1" x14ac:dyDescent="0.2">
      <c r="C716"/>
      <c r="M716"/>
    </row>
    <row r="717" spans="3:13" ht="12.75" customHeight="1" x14ac:dyDescent="0.2">
      <c r="C717"/>
      <c r="M717"/>
    </row>
    <row r="718" spans="3:13" ht="12.75" customHeight="1" x14ac:dyDescent="0.2">
      <c r="C718"/>
      <c r="M718"/>
    </row>
    <row r="719" spans="3:13" ht="12.75" customHeight="1" x14ac:dyDescent="0.2">
      <c r="C719"/>
      <c r="M719"/>
    </row>
    <row r="720" spans="3:13" ht="12.75" customHeight="1" x14ac:dyDescent="0.2">
      <c r="C720"/>
      <c r="M720"/>
    </row>
    <row r="721" spans="3:13" ht="12.75" customHeight="1" x14ac:dyDescent="0.2">
      <c r="C721"/>
      <c r="M721"/>
    </row>
    <row r="722" spans="3:13" ht="12.75" customHeight="1" x14ac:dyDescent="0.2">
      <c r="C722"/>
      <c r="M722"/>
    </row>
    <row r="723" spans="3:13" ht="12.75" customHeight="1" x14ac:dyDescent="0.2">
      <c r="C723"/>
      <c r="M723"/>
    </row>
    <row r="724" spans="3:13" ht="12.75" customHeight="1" x14ac:dyDescent="0.2">
      <c r="C724"/>
      <c r="M724"/>
    </row>
    <row r="725" spans="3:13" ht="12.75" customHeight="1" x14ac:dyDescent="0.2">
      <c r="C725"/>
      <c r="M725"/>
    </row>
    <row r="726" spans="3:13" ht="12.75" customHeight="1" x14ac:dyDescent="0.2">
      <c r="C726"/>
      <c r="M726"/>
    </row>
    <row r="727" spans="3:13" ht="12.75" customHeight="1" x14ac:dyDescent="0.2">
      <c r="C727"/>
      <c r="M727"/>
    </row>
    <row r="728" spans="3:13" ht="12.75" customHeight="1" x14ac:dyDescent="0.2">
      <c r="C728"/>
      <c r="M728"/>
    </row>
    <row r="729" spans="3:13" ht="12.75" customHeight="1" x14ac:dyDescent="0.2">
      <c r="C729"/>
      <c r="M729"/>
    </row>
    <row r="730" spans="3:13" ht="12.75" customHeight="1" x14ac:dyDescent="0.2">
      <c r="C730"/>
      <c r="M730"/>
    </row>
    <row r="731" spans="3:13" ht="12.75" customHeight="1" x14ac:dyDescent="0.2">
      <c r="C731"/>
      <c r="M731"/>
    </row>
    <row r="732" spans="3:13" ht="12.75" customHeight="1" x14ac:dyDescent="0.2">
      <c r="C732"/>
      <c r="M732"/>
    </row>
    <row r="733" spans="3:13" ht="12.75" customHeight="1" x14ac:dyDescent="0.2">
      <c r="C733"/>
      <c r="M733"/>
    </row>
    <row r="734" spans="3:13" ht="12.75" customHeight="1" x14ac:dyDescent="0.2">
      <c r="C734"/>
      <c r="M734"/>
    </row>
    <row r="735" spans="3:13" ht="12.75" customHeight="1" x14ac:dyDescent="0.2">
      <c r="C735"/>
      <c r="M735"/>
    </row>
    <row r="736" spans="3:13" ht="12.75" customHeight="1" x14ac:dyDescent="0.2">
      <c r="C736"/>
      <c r="M736"/>
    </row>
    <row r="737" spans="3:13" ht="12.75" customHeight="1" x14ac:dyDescent="0.2">
      <c r="C737"/>
      <c r="M737"/>
    </row>
    <row r="738" spans="3:13" ht="12.75" customHeight="1" x14ac:dyDescent="0.2">
      <c r="C738"/>
      <c r="M738"/>
    </row>
    <row r="739" spans="3:13" ht="12.75" customHeight="1" x14ac:dyDescent="0.2">
      <c r="C739"/>
      <c r="M739"/>
    </row>
    <row r="740" spans="3:13" ht="12.75" customHeight="1" x14ac:dyDescent="0.2">
      <c r="C740"/>
      <c r="M740"/>
    </row>
    <row r="741" spans="3:13" ht="12.75" customHeight="1" x14ac:dyDescent="0.2">
      <c r="C741"/>
      <c r="M741"/>
    </row>
    <row r="742" spans="3:13" ht="12.75" customHeight="1" x14ac:dyDescent="0.2">
      <c r="C742"/>
      <c r="M742"/>
    </row>
    <row r="743" spans="3:13" ht="12.75" customHeight="1" x14ac:dyDescent="0.2">
      <c r="C743"/>
      <c r="M743"/>
    </row>
    <row r="744" spans="3:13" ht="12.75" customHeight="1" x14ac:dyDescent="0.2">
      <c r="C744"/>
      <c r="M744"/>
    </row>
    <row r="745" spans="3:13" ht="12.75" customHeight="1" x14ac:dyDescent="0.2">
      <c r="C745"/>
      <c r="M745"/>
    </row>
    <row r="746" spans="3:13" ht="12.75" customHeight="1" x14ac:dyDescent="0.2">
      <c r="C746"/>
      <c r="M746"/>
    </row>
    <row r="747" spans="3:13" ht="12.75" customHeight="1" x14ac:dyDescent="0.2">
      <c r="C747"/>
      <c r="M747"/>
    </row>
    <row r="748" spans="3:13" ht="12.75" customHeight="1" x14ac:dyDescent="0.2">
      <c r="C748"/>
      <c r="M748"/>
    </row>
    <row r="749" spans="3:13" ht="12.75" customHeight="1" x14ac:dyDescent="0.2">
      <c r="C749"/>
      <c r="M749"/>
    </row>
    <row r="750" spans="3:13" ht="12.75" customHeight="1" x14ac:dyDescent="0.2">
      <c r="C750"/>
      <c r="M750"/>
    </row>
    <row r="751" spans="3:13" ht="12.75" customHeight="1" x14ac:dyDescent="0.2">
      <c r="C751"/>
      <c r="M751"/>
    </row>
    <row r="752" spans="3:13" ht="12.75" customHeight="1" x14ac:dyDescent="0.2">
      <c r="C752"/>
      <c r="M752"/>
    </row>
    <row r="753" spans="3:13" ht="12.75" customHeight="1" x14ac:dyDescent="0.2">
      <c r="C753"/>
      <c r="M753"/>
    </row>
    <row r="754" spans="3:13" ht="12.75" customHeight="1" x14ac:dyDescent="0.2">
      <c r="C754"/>
      <c r="M754"/>
    </row>
    <row r="755" spans="3:13" ht="12.75" customHeight="1" x14ac:dyDescent="0.2">
      <c r="C755"/>
      <c r="M755"/>
    </row>
    <row r="756" spans="3:13" ht="12.75" customHeight="1" x14ac:dyDescent="0.2">
      <c r="C756"/>
      <c r="M756"/>
    </row>
    <row r="757" spans="3:13" ht="12.75" customHeight="1" x14ac:dyDescent="0.2">
      <c r="C757"/>
      <c r="M757"/>
    </row>
    <row r="758" spans="3:13" ht="12.75" customHeight="1" x14ac:dyDescent="0.2">
      <c r="C758"/>
      <c r="M758"/>
    </row>
    <row r="759" spans="3:13" ht="12.75" customHeight="1" x14ac:dyDescent="0.2">
      <c r="C759"/>
      <c r="M759"/>
    </row>
    <row r="760" spans="3:13" ht="12.75" customHeight="1" x14ac:dyDescent="0.2">
      <c r="C760"/>
      <c r="M760"/>
    </row>
    <row r="761" spans="3:13" ht="12.75" customHeight="1" x14ac:dyDescent="0.2">
      <c r="C761"/>
      <c r="M761"/>
    </row>
    <row r="762" spans="3:13" ht="12.75" customHeight="1" x14ac:dyDescent="0.2">
      <c r="C762"/>
      <c r="M762"/>
    </row>
    <row r="763" spans="3:13" ht="12.75" customHeight="1" x14ac:dyDescent="0.2">
      <c r="C763"/>
      <c r="M763"/>
    </row>
    <row r="764" spans="3:13" ht="12.75" customHeight="1" x14ac:dyDescent="0.2">
      <c r="C764"/>
      <c r="M764"/>
    </row>
    <row r="765" spans="3:13" ht="12.75" customHeight="1" x14ac:dyDescent="0.2">
      <c r="C765"/>
      <c r="M765"/>
    </row>
    <row r="766" spans="3:13" ht="12.75" customHeight="1" x14ac:dyDescent="0.2">
      <c r="C766"/>
      <c r="M766"/>
    </row>
    <row r="767" spans="3:13" ht="12.75" customHeight="1" x14ac:dyDescent="0.2">
      <c r="C767"/>
      <c r="M767"/>
    </row>
    <row r="768" spans="3:13" ht="12.75" customHeight="1" x14ac:dyDescent="0.2">
      <c r="C768"/>
      <c r="M768"/>
    </row>
    <row r="769" spans="3:13" ht="12.75" customHeight="1" x14ac:dyDescent="0.2">
      <c r="C769"/>
      <c r="M769"/>
    </row>
    <row r="770" spans="3:13" ht="12.75" customHeight="1" x14ac:dyDescent="0.2">
      <c r="C770"/>
      <c r="M770"/>
    </row>
    <row r="771" spans="3:13" ht="12.75" customHeight="1" x14ac:dyDescent="0.2">
      <c r="C771"/>
      <c r="M771"/>
    </row>
    <row r="772" spans="3:13" ht="12.75" customHeight="1" x14ac:dyDescent="0.2">
      <c r="C772"/>
      <c r="M772"/>
    </row>
    <row r="773" spans="3:13" ht="12.75" customHeight="1" x14ac:dyDescent="0.2">
      <c r="C773"/>
      <c r="M773"/>
    </row>
    <row r="774" spans="3:13" ht="12.75" customHeight="1" x14ac:dyDescent="0.2">
      <c r="C774"/>
      <c r="M774"/>
    </row>
    <row r="775" spans="3:13" ht="12.75" customHeight="1" x14ac:dyDescent="0.2">
      <c r="C775"/>
      <c r="M775"/>
    </row>
    <row r="776" spans="3:13" ht="12.75" customHeight="1" x14ac:dyDescent="0.2">
      <c r="C776"/>
      <c r="M776"/>
    </row>
    <row r="777" spans="3:13" ht="12.75" customHeight="1" x14ac:dyDescent="0.2">
      <c r="C777"/>
      <c r="M777"/>
    </row>
    <row r="778" spans="3:13" ht="12.75" customHeight="1" x14ac:dyDescent="0.2">
      <c r="C778"/>
      <c r="M778"/>
    </row>
    <row r="779" spans="3:13" ht="12.75" customHeight="1" x14ac:dyDescent="0.2">
      <c r="C779"/>
      <c r="M779"/>
    </row>
    <row r="780" spans="3:13" ht="12.75" customHeight="1" x14ac:dyDescent="0.2">
      <c r="C780"/>
      <c r="M780"/>
    </row>
    <row r="781" spans="3:13" ht="12.75" customHeight="1" x14ac:dyDescent="0.2">
      <c r="C781"/>
      <c r="M781"/>
    </row>
    <row r="782" spans="3:13" ht="12.75" customHeight="1" x14ac:dyDescent="0.2">
      <c r="C782"/>
      <c r="M782"/>
    </row>
    <row r="783" spans="3:13" ht="12.75" customHeight="1" x14ac:dyDescent="0.2">
      <c r="C783"/>
      <c r="M783"/>
    </row>
    <row r="784" spans="3:13" ht="12.75" customHeight="1" x14ac:dyDescent="0.2">
      <c r="C784"/>
      <c r="M784"/>
    </row>
    <row r="785" spans="3:13" ht="12.75" customHeight="1" x14ac:dyDescent="0.2">
      <c r="C785"/>
      <c r="M785"/>
    </row>
    <row r="786" spans="3:13" ht="12.75" customHeight="1" x14ac:dyDescent="0.2">
      <c r="C786"/>
      <c r="M786"/>
    </row>
    <row r="787" spans="3:13" ht="12.75" customHeight="1" x14ac:dyDescent="0.2">
      <c r="C787"/>
      <c r="M787"/>
    </row>
    <row r="788" spans="3:13" ht="12.75" customHeight="1" x14ac:dyDescent="0.2">
      <c r="C788"/>
      <c r="M788"/>
    </row>
    <row r="789" spans="3:13" ht="12.75" customHeight="1" x14ac:dyDescent="0.2">
      <c r="C789"/>
      <c r="M789"/>
    </row>
    <row r="790" spans="3:13" ht="12.75" customHeight="1" x14ac:dyDescent="0.2">
      <c r="C790"/>
      <c r="M790"/>
    </row>
    <row r="791" spans="3:13" ht="12.75" customHeight="1" x14ac:dyDescent="0.2">
      <c r="C791"/>
      <c r="M791"/>
    </row>
    <row r="792" spans="3:13" ht="12.75" customHeight="1" x14ac:dyDescent="0.2">
      <c r="C792"/>
      <c r="M792"/>
    </row>
    <row r="793" spans="3:13" ht="12.75" customHeight="1" x14ac:dyDescent="0.2">
      <c r="C793"/>
      <c r="M793"/>
    </row>
    <row r="794" spans="3:13" ht="12.75" customHeight="1" x14ac:dyDescent="0.2">
      <c r="C794"/>
      <c r="M794"/>
    </row>
    <row r="795" spans="3:13" ht="12.75" customHeight="1" x14ac:dyDescent="0.2">
      <c r="C795"/>
      <c r="M795"/>
    </row>
    <row r="796" spans="3:13" ht="12.75" customHeight="1" x14ac:dyDescent="0.2">
      <c r="C796"/>
      <c r="M796"/>
    </row>
    <row r="797" spans="3:13" ht="12.75" customHeight="1" x14ac:dyDescent="0.2">
      <c r="C797"/>
      <c r="M797"/>
    </row>
    <row r="798" spans="3:13" ht="12.75" customHeight="1" x14ac:dyDescent="0.2">
      <c r="C798"/>
      <c r="M798"/>
    </row>
    <row r="799" spans="3:13" ht="12.75" customHeight="1" x14ac:dyDescent="0.2">
      <c r="C799"/>
      <c r="M799"/>
    </row>
    <row r="800" spans="3:13" ht="12.75" customHeight="1" x14ac:dyDescent="0.2">
      <c r="C800"/>
      <c r="M800"/>
    </row>
    <row r="801" spans="3:13" ht="12.75" customHeight="1" x14ac:dyDescent="0.2">
      <c r="C801"/>
      <c r="M801"/>
    </row>
    <row r="802" spans="3:13" ht="12.75" customHeight="1" x14ac:dyDescent="0.2">
      <c r="C802"/>
      <c r="M802"/>
    </row>
    <row r="803" spans="3:13" ht="12.75" customHeight="1" x14ac:dyDescent="0.2">
      <c r="C803"/>
      <c r="M803"/>
    </row>
    <row r="804" spans="3:13" ht="12.75" customHeight="1" x14ac:dyDescent="0.2">
      <c r="C804"/>
      <c r="M804"/>
    </row>
    <row r="805" spans="3:13" ht="12.75" customHeight="1" x14ac:dyDescent="0.2">
      <c r="C805"/>
      <c r="M805"/>
    </row>
    <row r="806" spans="3:13" ht="12.75" customHeight="1" x14ac:dyDescent="0.2">
      <c r="C806"/>
      <c r="M806"/>
    </row>
    <row r="807" spans="3:13" ht="12.75" customHeight="1" x14ac:dyDescent="0.2">
      <c r="C807"/>
      <c r="M807"/>
    </row>
    <row r="808" spans="3:13" ht="12.75" customHeight="1" x14ac:dyDescent="0.2">
      <c r="C808"/>
      <c r="M808"/>
    </row>
    <row r="809" spans="3:13" ht="12.75" customHeight="1" x14ac:dyDescent="0.2">
      <c r="C809"/>
      <c r="M809"/>
    </row>
    <row r="810" spans="3:13" ht="12.75" customHeight="1" x14ac:dyDescent="0.2">
      <c r="C810"/>
      <c r="M810"/>
    </row>
    <row r="811" spans="3:13" ht="12.75" customHeight="1" x14ac:dyDescent="0.2">
      <c r="C811"/>
      <c r="M811"/>
    </row>
    <row r="812" spans="3:13" ht="12.75" customHeight="1" x14ac:dyDescent="0.2">
      <c r="C812"/>
      <c r="M812"/>
    </row>
    <row r="813" spans="3:13" ht="12.75" customHeight="1" x14ac:dyDescent="0.2">
      <c r="C813"/>
      <c r="M813"/>
    </row>
    <row r="814" spans="3:13" ht="12.75" customHeight="1" x14ac:dyDescent="0.2">
      <c r="C814"/>
      <c r="M814"/>
    </row>
    <row r="815" spans="3:13" ht="12.75" customHeight="1" x14ac:dyDescent="0.2">
      <c r="C815"/>
      <c r="M815"/>
    </row>
    <row r="816" spans="3:13" ht="12.75" customHeight="1" x14ac:dyDescent="0.2">
      <c r="C816"/>
      <c r="M816"/>
    </row>
    <row r="817" spans="3:13" ht="12.75" customHeight="1" x14ac:dyDescent="0.2">
      <c r="C817"/>
      <c r="M817"/>
    </row>
    <row r="818" spans="3:13" ht="12.75" customHeight="1" x14ac:dyDescent="0.2">
      <c r="C818"/>
      <c r="M818"/>
    </row>
    <row r="819" spans="3:13" ht="12.75" customHeight="1" x14ac:dyDescent="0.2">
      <c r="C819"/>
      <c r="M819"/>
    </row>
    <row r="820" spans="3:13" ht="12.75" customHeight="1" x14ac:dyDescent="0.2">
      <c r="C820"/>
      <c r="M820"/>
    </row>
    <row r="821" spans="3:13" ht="12.75" customHeight="1" x14ac:dyDescent="0.2">
      <c r="C821"/>
      <c r="M821"/>
    </row>
    <row r="822" spans="3:13" ht="12.75" customHeight="1" x14ac:dyDescent="0.2">
      <c r="C822"/>
      <c r="M822"/>
    </row>
    <row r="823" spans="3:13" ht="12.75" customHeight="1" x14ac:dyDescent="0.2">
      <c r="C823"/>
      <c r="M823"/>
    </row>
    <row r="824" spans="3:13" ht="12.75" customHeight="1" x14ac:dyDescent="0.2">
      <c r="C824"/>
      <c r="M824"/>
    </row>
    <row r="825" spans="3:13" ht="12.75" customHeight="1" x14ac:dyDescent="0.2">
      <c r="C825"/>
      <c r="M825"/>
    </row>
    <row r="826" spans="3:13" ht="12.75" customHeight="1" x14ac:dyDescent="0.2">
      <c r="C826"/>
      <c r="M826"/>
    </row>
    <row r="827" spans="3:13" ht="12.75" customHeight="1" x14ac:dyDescent="0.2">
      <c r="C827"/>
      <c r="M827"/>
    </row>
    <row r="828" spans="3:13" ht="12.75" customHeight="1" x14ac:dyDescent="0.2">
      <c r="C828"/>
      <c r="M828"/>
    </row>
    <row r="829" spans="3:13" ht="12.75" customHeight="1" x14ac:dyDescent="0.2">
      <c r="C829"/>
      <c r="M829"/>
    </row>
    <row r="830" spans="3:13" ht="12.75" customHeight="1" x14ac:dyDescent="0.2">
      <c r="C830"/>
      <c r="M830"/>
    </row>
    <row r="831" spans="3:13" ht="12.75" customHeight="1" x14ac:dyDescent="0.2">
      <c r="C831"/>
      <c r="M831"/>
    </row>
    <row r="832" spans="3:13" ht="12.75" customHeight="1" x14ac:dyDescent="0.2">
      <c r="C832"/>
      <c r="M832"/>
    </row>
    <row r="833" spans="3:13" ht="12.75" customHeight="1" x14ac:dyDescent="0.2">
      <c r="C833"/>
      <c r="M833"/>
    </row>
    <row r="834" spans="3:13" ht="12.75" customHeight="1" x14ac:dyDescent="0.2">
      <c r="C834"/>
      <c r="M834"/>
    </row>
    <row r="835" spans="3:13" ht="12.75" customHeight="1" x14ac:dyDescent="0.2">
      <c r="C835"/>
      <c r="M835"/>
    </row>
    <row r="836" spans="3:13" ht="12.75" customHeight="1" x14ac:dyDescent="0.2">
      <c r="C836"/>
      <c r="M836"/>
    </row>
    <row r="837" spans="3:13" ht="12.75" customHeight="1" x14ac:dyDescent="0.2">
      <c r="C837"/>
      <c r="M837"/>
    </row>
    <row r="838" spans="3:13" ht="12.75" customHeight="1" x14ac:dyDescent="0.2">
      <c r="C838"/>
      <c r="M838"/>
    </row>
    <row r="839" spans="3:13" ht="12.75" customHeight="1" x14ac:dyDescent="0.2">
      <c r="C839"/>
      <c r="M839"/>
    </row>
    <row r="840" spans="3:13" ht="12.75" customHeight="1" x14ac:dyDescent="0.2">
      <c r="C840"/>
      <c r="M840"/>
    </row>
    <row r="841" spans="3:13" ht="12.75" customHeight="1" x14ac:dyDescent="0.2">
      <c r="C841"/>
      <c r="M841"/>
    </row>
    <row r="842" spans="3:13" ht="12.75" customHeight="1" x14ac:dyDescent="0.2">
      <c r="C842"/>
      <c r="M842"/>
    </row>
    <row r="843" spans="3:13" ht="12.75" customHeight="1" x14ac:dyDescent="0.2">
      <c r="C843"/>
      <c r="M843"/>
    </row>
    <row r="844" spans="3:13" ht="12.75" customHeight="1" x14ac:dyDescent="0.2">
      <c r="C844"/>
      <c r="M844"/>
    </row>
    <row r="845" spans="3:13" ht="12.75" customHeight="1" x14ac:dyDescent="0.2">
      <c r="C845"/>
      <c r="M845"/>
    </row>
    <row r="846" spans="3:13" ht="12.75" customHeight="1" x14ac:dyDescent="0.2">
      <c r="C846"/>
      <c r="M846"/>
    </row>
    <row r="847" spans="3:13" ht="12.75" customHeight="1" x14ac:dyDescent="0.2">
      <c r="C847"/>
      <c r="M847"/>
    </row>
    <row r="848" spans="3:13" ht="12.75" customHeight="1" x14ac:dyDescent="0.2">
      <c r="C848"/>
      <c r="M848"/>
    </row>
    <row r="849" spans="3:13" ht="12.75" customHeight="1" x14ac:dyDescent="0.2">
      <c r="C849"/>
      <c r="M849"/>
    </row>
    <row r="850" spans="3:13" ht="12.75" customHeight="1" x14ac:dyDescent="0.2">
      <c r="C850"/>
      <c r="M850"/>
    </row>
    <row r="851" spans="3:13" ht="12.75" customHeight="1" x14ac:dyDescent="0.2">
      <c r="C851"/>
      <c r="M851"/>
    </row>
    <row r="852" spans="3:13" ht="12.75" customHeight="1" x14ac:dyDescent="0.2">
      <c r="C852"/>
      <c r="M852"/>
    </row>
    <row r="853" spans="3:13" ht="12.75" customHeight="1" x14ac:dyDescent="0.2">
      <c r="C853"/>
      <c r="M853"/>
    </row>
    <row r="854" spans="3:13" ht="12.75" customHeight="1" x14ac:dyDescent="0.2">
      <c r="C854"/>
      <c r="M854"/>
    </row>
    <row r="855" spans="3:13" ht="12.75" customHeight="1" x14ac:dyDescent="0.2">
      <c r="C855"/>
      <c r="M855"/>
    </row>
    <row r="856" spans="3:13" ht="12.75" customHeight="1" x14ac:dyDescent="0.2">
      <c r="C856"/>
      <c r="M856"/>
    </row>
    <row r="857" spans="3:13" ht="12.75" customHeight="1" x14ac:dyDescent="0.2">
      <c r="C857"/>
      <c r="M857"/>
    </row>
    <row r="858" spans="3:13" ht="12.75" customHeight="1" x14ac:dyDescent="0.2">
      <c r="C858"/>
      <c r="M858"/>
    </row>
    <row r="859" spans="3:13" ht="12.75" customHeight="1" x14ac:dyDescent="0.2">
      <c r="C859"/>
      <c r="M859"/>
    </row>
    <row r="860" spans="3:13" ht="12.75" customHeight="1" x14ac:dyDescent="0.2">
      <c r="C860"/>
      <c r="M860"/>
    </row>
    <row r="861" spans="3:13" ht="12.75" customHeight="1" x14ac:dyDescent="0.2">
      <c r="C861"/>
      <c r="M861"/>
    </row>
    <row r="862" spans="3:13" ht="12.75" customHeight="1" x14ac:dyDescent="0.2">
      <c r="C862"/>
      <c r="M862"/>
    </row>
    <row r="863" spans="3:13" ht="12.75" customHeight="1" x14ac:dyDescent="0.2">
      <c r="C863"/>
      <c r="M863"/>
    </row>
    <row r="864" spans="3:13" ht="12.75" customHeight="1" x14ac:dyDescent="0.2">
      <c r="C864"/>
      <c r="M864"/>
    </row>
    <row r="865" spans="3:13" ht="12.75" customHeight="1" x14ac:dyDescent="0.2">
      <c r="C865"/>
      <c r="M865"/>
    </row>
    <row r="866" spans="3:13" ht="12.75" customHeight="1" x14ac:dyDescent="0.2">
      <c r="C866"/>
      <c r="M866"/>
    </row>
    <row r="867" spans="3:13" ht="12.75" customHeight="1" x14ac:dyDescent="0.2">
      <c r="C867"/>
      <c r="M867"/>
    </row>
    <row r="868" spans="3:13" ht="12.75" customHeight="1" x14ac:dyDescent="0.2">
      <c r="C868"/>
      <c r="M868"/>
    </row>
    <row r="869" spans="3:13" ht="12.75" customHeight="1" x14ac:dyDescent="0.2">
      <c r="C869"/>
      <c r="M869"/>
    </row>
    <row r="870" spans="3:13" ht="12.75" customHeight="1" x14ac:dyDescent="0.2">
      <c r="C870"/>
      <c r="M870"/>
    </row>
    <row r="871" spans="3:13" ht="12.75" customHeight="1" x14ac:dyDescent="0.2">
      <c r="C871"/>
      <c r="M871"/>
    </row>
    <row r="872" spans="3:13" ht="12.75" customHeight="1" x14ac:dyDescent="0.2">
      <c r="C872"/>
      <c r="M872"/>
    </row>
    <row r="873" spans="3:13" ht="12.75" customHeight="1" x14ac:dyDescent="0.2">
      <c r="C873"/>
      <c r="M873"/>
    </row>
    <row r="874" spans="3:13" ht="12.75" customHeight="1" x14ac:dyDescent="0.2">
      <c r="C874"/>
      <c r="M874"/>
    </row>
    <row r="875" spans="3:13" ht="12.75" customHeight="1" x14ac:dyDescent="0.2">
      <c r="C875"/>
      <c r="M875"/>
    </row>
    <row r="876" spans="3:13" ht="12.75" customHeight="1" x14ac:dyDescent="0.2">
      <c r="C876"/>
      <c r="M876"/>
    </row>
    <row r="877" spans="3:13" ht="12.75" customHeight="1" x14ac:dyDescent="0.2">
      <c r="C877"/>
      <c r="M877"/>
    </row>
    <row r="878" spans="3:13" ht="12.75" customHeight="1" x14ac:dyDescent="0.2">
      <c r="C878"/>
      <c r="M878"/>
    </row>
    <row r="879" spans="3:13" ht="12.75" customHeight="1" x14ac:dyDescent="0.2">
      <c r="C879"/>
      <c r="M879"/>
    </row>
    <row r="880" spans="3:13" ht="12.75" customHeight="1" x14ac:dyDescent="0.2">
      <c r="C880"/>
      <c r="M880"/>
    </row>
    <row r="881" spans="3:13" ht="12.75" customHeight="1" x14ac:dyDescent="0.2">
      <c r="C881"/>
      <c r="M881"/>
    </row>
    <row r="882" spans="3:13" ht="12.75" customHeight="1" x14ac:dyDescent="0.2">
      <c r="C882"/>
      <c r="M882"/>
    </row>
    <row r="883" spans="3:13" ht="12.75" customHeight="1" x14ac:dyDescent="0.2">
      <c r="C883"/>
      <c r="M883"/>
    </row>
    <row r="884" spans="3:13" ht="12.75" customHeight="1" x14ac:dyDescent="0.2">
      <c r="C884"/>
      <c r="M884"/>
    </row>
    <row r="885" spans="3:13" ht="12.75" customHeight="1" x14ac:dyDescent="0.2">
      <c r="C885"/>
      <c r="M885"/>
    </row>
    <row r="886" spans="3:13" ht="12.75" customHeight="1" x14ac:dyDescent="0.2">
      <c r="C886"/>
      <c r="M886"/>
    </row>
    <row r="887" spans="3:13" ht="12.75" customHeight="1" x14ac:dyDescent="0.2">
      <c r="C887"/>
      <c r="M887"/>
    </row>
    <row r="888" spans="3:13" ht="12.75" customHeight="1" x14ac:dyDescent="0.2">
      <c r="C888"/>
      <c r="M888"/>
    </row>
    <row r="889" spans="3:13" ht="12.75" customHeight="1" x14ac:dyDescent="0.2">
      <c r="C889"/>
      <c r="M889"/>
    </row>
    <row r="890" spans="3:13" ht="12.75" customHeight="1" x14ac:dyDescent="0.2">
      <c r="C890"/>
      <c r="M890"/>
    </row>
    <row r="891" spans="3:13" ht="12.75" customHeight="1" x14ac:dyDescent="0.2">
      <c r="C891"/>
      <c r="M891"/>
    </row>
    <row r="892" spans="3:13" ht="12.75" customHeight="1" x14ac:dyDescent="0.2">
      <c r="C892"/>
      <c r="M892"/>
    </row>
    <row r="893" spans="3:13" ht="12.75" customHeight="1" x14ac:dyDescent="0.2">
      <c r="C893"/>
      <c r="M893"/>
    </row>
    <row r="894" spans="3:13" ht="12.75" customHeight="1" x14ac:dyDescent="0.2">
      <c r="C894"/>
      <c r="M894"/>
    </row>
    <row r="895" spans="3:13" ht="12.75" customHeight="1" x14ac:dyDescent="0.2">
      <c r="C895"/>
      <c r="M895"/>
    </row>
    <row r="896" spans="3:13" ht="12.75" customHeight="1" x14ac:dyDescent="0.2">
      <c r="C896"/>
      <c r="M896"/>
    </row>
    <row r="897" spans="3:13" ht="12.75" customHeight="1" x14ac:dyDescent="0.2">
      <c r="C897"/>
      <c r="M897"/>
    </row>
    <row r="898" spans="3:13" ht="12.75" customHeight="1" x14ac:dyDescent="0.2">
      <c r="C898"/>
      <c r="M898"/>
    </row>
    <row r="899" spans="3:13" ht="12.75" customHeight="1" x14ac:dyDescent="0.2">
      <c r="C899"/>
      <c r="M899"/>
    </row>
    <row r="900" spans="3:13" ht="12.75" customHeight="1" x14ac:dyDescent="0.2">
      <c r="C900"/>
      <c r="M900"/>
    </row>
    <row r="901" spans="3:13" ht="12.75" customHeight="1" x14ac:dyDescent="0.2">
      <c r="C901"/>
      <c r="M901"/>
    </row>
    <row r="902" spans="3:13" ht="12.75" customHeight="1" x14ac:dyDescent="0.2">
      <c r="C902"/>
      <c r="M902"/>
    </row>
    <row r="903" spans="3:13" ht="12.75" customHeight="1" x14ac:dyDescent="0.2">
      <c r="C903"/>
      <c r="M903"/>
    </row>
    <row r="904" spans="3:13" ht="12.75" customHeight="1" x14ac:dyDescent="0.2">
      <c r="C904"/>
      <c r="M904"/>
    </row>
    <row r="905" spans="3:13" ht="12.75" customHeight="1" x14ac:dyDescent="0.2">
      <c r="C905"/>
      <c r="M905"/>
    </row>
    <row r="906" spans="3:13" ht="12.75" customHeight="1" x14ac:dyDescent="0.2">
      <c r="C906"/>
      <c r="M906"/>
    </row>
    <row r="907" spans="3:13" ht="12.75" customHeight="1" x14ac:dyDescent="0.2">
      <c r="C907"/>
      <c r="M907"/>
    </row>
    <row r="908" spans="3:13" ht="12.75" customHeight="1" x14ac:dyDescent="0.2">
      <c r="C908"/>
      <c r="M908"/>
    </row>
    <row r="909" spans="3:13" ht="12.75" customHeight="1" x14ac:dyDescent="0.2">
      <c r="C909"/>
      <c r="M909"/>
    </row>
    <row r="910" spans="3:13" ht="12.75" customHeight="1" x14ac:dyDescent="0.2">
      <c r="C910"/>
      <c r="M910"/>
    </row>
    <row r="911" spans="3:13" ht="12.75" customHeight="1" x14ac:dyDescent="0.2">
      <c r="C911"/>
      <c r="M911"/>
    </row>
    <row r="912" spans="3:13" ht="12.75" customHeight="1" x14ac:dyDescent="0.2">
      <c r="C912"/>
      <c r="M912"/>
    </row>
    <row r="913" spans="3:13" ht="12.75" customHeight="1" x14ac:dyDescent="0.2">
      <c r="C913"/>
      <c r="M913"/>
    </row>
    <row r="914" spans="3:13" ht="12.75" customHeight="1" x14ac:dyDescent="0.2">
      <c r="C914"/>
      <c r="M914"/>
    </row>
    <row r="915" spans="3:13" ht="12.75" customHeight="1" x14ac:dyDescent="0.2">
      <c r="C915"/>
      <c r="M915"/>
    </row>
    <row r="916" spans="3:13" ht="12.75" customHeight="1" x14ac:dyDescent="0.2">
      <c r="C916"/>
      <c r="M916"/>
    </row>
    <row r="917" spans="3:13" ht="12.75" customHeight="1" x14ac:dyDescent="0.2">
      <c r="C917"/>
      <c r="M917"/>
    </row>
    <row r="918" spans="3:13" ht="12.75" customHeight="1" x14ac:dyDescent="0.2">
      <c r="C918"/>
      <c r="M918"/>
    </row>
    <row r="919" spans="3:13" ht="12.75" customHeight="1" x14ac:dyDescent="0.2">
      <c r="C919"/>
      <c r="M919"/>
    </row>
    <row r="920" spans="3:13" ht="12.75" customHeight="1" x14ac:dyDescent="0.2">
      <c r="C920"/>
      <c r="M920"/>
    </row>
    <row r="921" spans="3:13" ht="12.75" customHeight="1" x14ac:dyDescent="0.2">
      <c r="C921"/>
      <c r="M921"/>
    </row>
    <row r="922" spans="3:13" ht="12.75" customHeight="1" x14ac:dyDescent="0.2">
      <c r="C922"/>
      <c r="M922"/>
    </row>
    <row r="923" spans="3:13" ht="12.75" customHeight="1" x14ac:dyDescent="0.2">
      <c r="C923"/>
      <c r="M923"/>
    </row>
    <row r="924" spans="3:13" ht="12.75" customHeight="1" x14ac:dyDescent="0.2">
      <c r="C924"/>
      <c r="M924"/>
    </row>
    <row r="925" spans="3:13" ht="12.75" customHeight="1" x14ac:dyDescent="0.2">
      <c r="C925"/>
      <c r="M925"/>
    </row>
    <row r="926" spans="3:13" ht="12.75" customHeight="1" x14ac:dyDescent="0.2">
      <c r="C926"/>
      <c r="M926"/>
    </row>
    <row r="927" spans="3:13" ht="12.75" customHeight="1" x14ac:dyDescent="0.2">
      <c r="C927"/>
      <c r="M927"/>
    </row>
    <row r="928" spans="3:13" ht="12.75" customHeight="1" x14ac:dyDescent="0.2">
      <c r="C928"/>
      <c r="M928"/>
    </row>
    <row r="929" spans="3:13" ht="12.75" customHeight="1" x14ac:dyDescent="0.2">
      <c r="C929"/>
      <c r="M929"/>
    </row>
    <row r="930" spans="3:13" ht="12.75" customHeight="1" x14ac:dyDescent="0.2">
      <c r="C930"/>
      <c r="M930"/>
    </row>
    <row r="931" spans="3:13" ht="12.75" customHeight="1" x14ac:dyDescent="0.2">
      <c r="C931"/>
      <c r="M931"/>
    </row>
    <row r="932" spans="3:13" ht="12.75" customHeight="1" x14ac:dyDescent="0.2">
      <c r="C932"/>
      <c r="M932"/>
    </row>
    <row r="933" spans="3:13" ht="12.75" customHeight="1" x14ac:dyDescent="0.2">
      <c r="C933"/>
      <c r="M933"/>
    </row>
    <row r="934" spans="3:13" ht="12.75" customHeight="1" x14ac:dyDescent="0.2">
      <c r="C934"/>
      <c r="M934"/>
    </row>
    <row r="935" spans="3:13" ht="12.75" customHeight="1" x14ac:dyDescent="0.2">
      <c r="C935"/>
      <c r="M935"/>
    </row>
    <row r="936" spans="3:13" ht="12.75" customHeight="1" x14ac:dyDescent="0.2">
      <c r="C936"/>
      <c r="M936"/>
    </row>
    <row r="937" spans="3:13" ht="12.75" customHeight="1" x14ac:dyDescent="0.2">
      <c r="C937"/>
      <c r="M937"/>
    </row>
    <row r="938" spans="3:13" ht="12.75" customHeight="1" x14ac:dyDescent="0.2">
      <c r="C938"/>
      <c r="M938"/>
    </row>
    <row r="939" spans="3:13" ht="12.75" customHeight="1" x14ac:dyDescent="0.2">
      <c r="C939"/>
      <c r="M939"/>
    </row>
    <row r="940" spans="3:13" ht="12.75" customHeight="1" x14ac:dyDescent="0.2">
      <c r="C940"/>
      <c r="M940"/>
    </row>
    <row r="941" spans="3:13" ht="12.75" customHeight="1" x14ac:dyDescent="0.2">
      <c r="C941"/>
      <c r="M941"/>
    </row>
    <row r="942" spans="3:13" ht="12.75" customHeight="1" x14ac:dyDescent="0.2">
      <c r="C942"/>
      <c r="M942"/>
    </row>
    <row r="943" spans="3:13" ht="12.75" customHeight="1" x14ac:dyDescent="0.2">
      <c r="C943"/>
      <c r="M943"/>
    </row>
    <row r="944" spans="3:13" ht="12.75" customHeight="1" x14ac:dyDescent="0.2">
      <c r="C944"/>
      <c r="M944"/>
    </row>
    <row r="945" spans="3:13" ht="12.75" customHeight="1" x14ac:dyDescent="0.2">
      <c r="C945"/>
      <c r="M945"/>
    </row>
    <row r="946" spans="3:13" ht="12.75" customHeight="1" x14ac:dyDescent="0.2">
      <c r="C946"/>
      <c r="M946"/>
    </row>
    <row r="947" spans="3:13" ht="12.75" customHeight="1" x14ac:dyDescent="0.2">
      <c r="C947"/>
      <c r="M947"/>
    </row>
    <row r="948" spans="3:13" ht="12.75" customHeight="1" x14ac:dyDescent="0.2">
      <c r="C948"/>
      <c r="M948"/>
    </row>
    <row r="949" spans="3:13" ht="12.75" customHeight="1" x14ac:dyDescent="0.2">
      <c r="C949"/>
      <c r="M949"/>
    </row>
    <row r="950" spans="3:13" ht="12.75" customHeight="1" x14ac:dyDescent="0.2">
      <c r="C950"/>
      <c r="M950"/>
    </row>
    <row r="951" spans="3:13" ht="12.75" customHeight="1" x14ac:dyDescent="0.2">
      <c r="C951"/>
      <c r="M951"/>
    </row>
    <row r="952" spans="3:13" ht="12.75" customHeight="1" x14ac:dyDescent="0.2">
      <c r="C952"/>
      <c r="M952"/>
    </row>
    <row r="953" spans="3:13" ht="12.75" customHeight="1" x14ac:dyDescent="0.2">
      <c r="C953"/>
      <c r="M953"/>
    </row>
    <row r="954" spans="3:13" ht="12.75" customHeight="1" x14ac:dyDescent="0.2">
      <c r="C954"/>
      <c r="M954"/>
    </row>
    <row r="955" spans="3:13" ht="12.75" customHeight="1" x14ac:dyDescent="0.2">
      <c r="C955"/>
      <c r="M955"/>
    </row>
    <row r="956" spans="3:13" ht="12.75" customHeight="1" x14ac:dyDescent="0.2">
      <c r="C956"/>
      <c r="M956"/>
    </row>
    <row r="957" spans="3:13" ht="12.75" customHeight="1" x14ac:dyDescent="0.2">
      <c r="C957"/>
      <c r="M957"/>
    </row>
    <row r="958" spans="3:13" ht="12.75" customHeight="1" x14ac:dyDescent="0.2">
      <c r="C958"/>
      <c r="M958"/>
    </row>
    <row r="959" spans="3:13" ht="12.75" customHeight="1" x14ac:dyDescent="0.2">
      <c r="C959"/>
      <c r="M959"/>
    </row>
    <row r="960" spans="3:13" ht="12.75" customHeight="1" x14ac:dyDescent="0.2">
      <c r="C960"/>
      <c r="M960"/>
    </row>
    <row r="961" spans="3:13" ht="12.75" customHeight="1" x14ac:dyDescent="0.2">
      <c r="C961"/>
      <c r="M961"/>
    </row>
    <row r="962" spans="3:13" ht="12.75" customHeight="1" x14ac:dyDescent="0.2">
      <c r="C962"/>
      <c r="M962"/>
    </row>
    <row r="963" spans="3:13" ht="12.75" customHeight="1" x14ac:dyDescent="0.2">
      <c r="C963"/>
      <c r="M963"/>
    </row>
    <row r="964" spans="3:13" ht="12.75" customHeight="1" x14ac:dyDescent="0.2">
      <c r="C964"/>
      <c r="M964"/>
    </row>
    <row r="965" spans="3:13" ht="12.75" customHeight="1" x14ac:dyDescent="0.2">
      <c r="C965"/>
      <c r="M965"/>
    </row>
    <row r="966" spans="3:13" ht="12.75" customHeight="1" x14ac:dyDescent="0.2">
      <c r="C966"/>
      <c r="M966"/>
    </row>
    <row r="967" spans="3:13" ht="12.75" customHeight="1" x14ac:dyDescent="0.2">
      <c r="C967"/>
      <c r="M967"/>
    </row>
    <row r="968" spans="3:13" ht="12.75" customHeight="1" x14ac:dyDescent="0.2">
      <c r="C968"/>
      <c r="M968"/>
    </row>
    <row r="969" spans="3:13" ht="12.75" customHeight="1" x14ac:dyDescent="0.2">
      <c r="C969"/>
      <c r="M969"/>
    </row>
    <row r="970" spans="3:13" ht="12.75" customHeight="1" x14ac:dyDescent="0.2">
      <c r="C970"/>
      <c r="M970"/>
    </row>
    <row r="971" spans="3:13" ht="12.75" customHeight="1" x14ac:dyDescent="0.2">
      <c r="C971"/>
      <c r="M971"/>
    </row>
    <row r="972" spans="3:13" ht="12.75" customHeight="1" x14ac:dyDescent="0.2">
      <c r="C972"/>
      <c r="M972"/>
    </row>
    <row r="973" spans="3:13" ht="12.75" customHeight="1" x14ac:dyDescent="0.2">
      <c r="C973"/>
      <c r="M973"/>
    </row>
    <row r="974" spans="3:13" ht="12.75" customHeight="1" x14ac:dyDescent="0.2">
      <c r="C974"/>
      <c r="M974"/>
    </row>
    <row r="975" spans="3:13" ht="12.75" customHeight="1" x14ac:dyDescent="0.2">
      <c r="C975"/>
      <c r="M975"/>
    </row>
    <row r="976" spans="3:13" ht="12.75" customHeight="1" x14ac:dyDescent="0.2">
      <c r="C976"/>
      <c r="M976"/>
    </row>
    <row r="977" spans="3:13" ht="12.75" customHeight="1" x14ac:dyDescent="0.2">
      <c r="C977"/>
      <c r="M977"/>
    </row>
    <row r="978" spans="3:13" ht="12.75" customHeight="1" x14ac:dyDescent="0.2">
      <c r="C978"/>
      <c r="M978"/>
    </row>
    <row r="979" spans="3:13" ht="12.75" customHeight="1" x14ac:dyDescent="0.2">
      <c r="C979"/>
      <c r="M979"/>
    </row>
    <row r="980" spans="3:13" ht="12.75" customHeight="1" x14ac:dyDescent="0.2">
      <c r="C980"/>
      <c r="M980"/>
    </row>
    <row r="981" spans="3:13" ht="12.75" customHeight="1" x14ac:dyDescent="0.2">
      <c r="C981"/>
      <c r="M981"/>
    </row>
    <row r="982" spans="3:13" ht="12.75" customHeight="1" x14ac:dyDescent="0.2">
      <c r="C982"/>
      <c r="M982"/>
    </row>
    <row r="983" spans="3:13" ht="12.75" customHeight="1" x14ac:dyDescent="0.2">
      <c r="C983"/>
      <c r="M983"/>
    </row>
    <row r="984" spans="3:13" ht="12.75" customHeight="1" x14ac:dyDescent="0.2">
      <c r="C984"/>
      <c r="M984"/>
    </row>
    <row r="985" spans="3:13" ht="12.75" customHeight="1" x14ac:dyDescent="0.2">
      <c r="C985"/>
      <c r="M985"/>
    </row>
    <row r="986" spans="3:13" ht="12.75" customHeight="1" x14ac:dyDescent="0.2">
      <c r="C986"/>
      <c r="M986"/>
    </row>
    <row r="987" spans="3:13" ht="12.75" customHeight="1" x14ac:dyDescent="0.2">
      <c r="C987"/>
      <c r="M987"/>
    </row>
    <row r="988" spans="3:13" ht="12.75" customHeight="1" x14ac:dyDescent="0.2">
      <c r="C988"/>
      <c r="M988"/>
    </row>
    <row r="989" spans="3:13" ht="12.75" customHeight="1" x14ac:dyDescent="0.2">
      <c r="C989"/>
      <c r="M989"/>
    </row>
    <row r="990" spans="3:13" ht="12.75" customHeight="1" x14ac:dyDescent="0.2">
      <c r="C990"/>
      <c r="M990"/>
    </row>
    <row r="991" spans="3:13" ht="12.75" customHeight="1" x14ac:dyDescent="0.2">
      <c r="C991"/>
      <c r="M991"/>
    </row>
    <row r="992" spans="3:13" ht="12.75" customHeight="1" x14ac:dyDescent="0.2">
      <c r="C992"/>
      <c r="M992"/>
    </row>
    <row r="993" spans="3:13" ht="12.75" customHeight="1" x14ac:dyDescent="0.2">
      <c r="C993"/>
      <c r="M993"/>
    </row>
    <row r="994" spans="3:13" ht="12.75" customHeight="1" x14ac:dyDescent="0.2">
      <c r="C994"/>
      <c r="M994"/>
    </row>
    <row r="995" spans="3:13" ht="12.75" customHeight="1" x14ac:dyDescent="0.2">
      <c r="C995"/>
      <c r="M995"/>
    </row>
    <row r="996" spans="3:13" ht="12.75" customHeight="1" x14ac:dyDescent="0.2">
      <c r="C996"/>
      <c r="M996"/>
    </row>
    <row r="997" spans="3:13" ht="12.75" customHeight="1" x14ac:dyDescent="0.2">
      <c r="C997"/>
      <c r="M997"/>
    </row>
    <row r="998" spans="3:13" ht="12.75" customHeight="1" x14ac:dyDescent="0.2">
      <c r="C998"/>
      <c r="M998"/>
    </row>
    <row r="999" spans="3:13" ht="12.75" customHeight="1" x14ac:dyDescent="0.2">
      <c r="C999"/>
      <c r="M999"/>
    </row>
    <row r="1000" spans="3:13" ht="12.75" customHeight="1" x14ac:dyDescent="0.2">
      <c r="C1000"/>
      <c r="M1000"/>
    </row>
    <row r="1001" spans="3:13" ht="12.75" customHeight="1" x14ac:dyDescent="0.2">
      <c r="C1001"/>
      <c r="M1001"/>
    </row>
    <row r="1002" spans="3:13" ht="12.75" customHeight="1" x14ac:dyDescent="0.2">
      <c r="C1002"/>
      <c r="M1002"/>
    </row>
    <row r="1003" spans="3:13" ht="12.75" customHeight="1" x14ac:dyDescent="0.2">
      <c r="C1003"/>
      <c r="M1003"/>
    </row>
    <row r="1004" spans="3:13" ht="12.75" customHeight="1" x14ac:dyDescent="0.2">
      <c r="C1004"/>
      <c r="M1004"/>
    </row>
    <row r="1005" spans="3:13" ht="12.75" customHeight="1" x14ac:dyDescent="0.2">
      <c r="C1005"/>
      <c r="M1005"/>
    </row>
    <row r="1006" spans="3:13" ht="12.75" customHeight="1" x14ac:dyDescent="0.2">
      <c r="C1006"/>
      <c r="M1006"/>
    </row>
    <row r="1007" spans="3:13" ht="12.75" customHeight="1" x14ac:dyDescent="0.2">
      <c r="C1007"/>
      <c r="M1007"/>
    </row>
    <row r="1008" spans="3:13" ht="12.75" customHeight="1" x14ac:dyDescent="0.2">
      <c r="C1008"/>
      <c r="M1008"/>
    </row>
    <row r="1009" spans="3:13" ht="12.75" customHeight="1" x14ac:dyDescent="0.2">
      <c r="C1009"/>
      <c r="M1009"/>
    </row>
    <row r="1010" spans="3:13" ht="12.75" customHeight="1" x14ac:dyDescent="0.2">
      <c r="C1010"/>
      <c r="M1010"/>
    </row>
    <row r="1011" spans="3:13" ht="12.75" customHeight="1" x14ac:dyDescent="0.2">
      <c r="C1011"/>
      <c r="M1011"/>
    </row>
    <row r="1012" spans="3:13" ht="12.75" customHeight="1" x14ac:dyDescent="0.2">
      <c r="C1012"/>
      <c r="M1012"/>
    </row>
    <row r="1013" spans="3:13" ht="12.75" customHeight="1" x14ac:dyDescent="0.2">
      <c r="C1013"/>
      <c r="M1013"/>
    </row>
    <row r="1014" spans="3:13" ht="12.75" customHeight="1" x14ac:dyDescent="0.2">
      <c r="C1014"/>
      <c r="M1014"/>
    </row>
    <row r="1015" spans="3:13" ht="12.75" customHeight="1" x14ac:dyDescent="0.2">
      <c r="C1015"/>
      <c r="M1015"/>
    </row>
    <row r="1016" spans="3:13" ht="12.75" customHeight="1" x14ac:dyDescent="0.2">
      <c r="C1016"/>
      <c r="M1016"/>
    </row>
    <row r="1017" spans="3:13" ht="12.75" customHeight="1" x14ac:dyDescent="0.2">
      <c r="C1017"/>
      <c r="M1017"/>
    </row>
    <row r="1018" spans="3:13" ht="12.75" customHeight="1" x14ac:dyDescent="0.2">
      <c r="C1018"/>
      <c r="M1018"/>
    </row>
    <row r="1019" spans="3:13" ht="12.75" customHeight="1" x14ac:dyDescent="0.2">
      <c r="C1019"/>
      <c r="M1019"/>
    </row>
    <row r="1020" spans="3:13" ht="12.75" customHeight="1" x14ac:dyDescent="0.2">
      <c r="C1020"/>
      <c r="M1020"/>
    </row>
    <row r="1021" spans="3:13" ht="12.75" customHeight="1" x14ac:dyDescent="0.2">
      <c r="C1021"/>
      <c r="M1021"/>
    </row>
    <row r="1022" spans="3:13" ht="12.75" customHeight="1" x14ac:dyDescent="0.2">
      <c r="C1022"/>
      <c r="M1022"/>
    </row>
    <row r="1023" spans="3:13" ht="12.75" customHeight="1" x14ac:dyDescent="0.2">
      <c r="C1023"/>
      <c r="M1023"/>
    </row>
    <row r="1024" spans="3:13" ht="12.75" customHeight="1" x14ac:dyDescent="0.2">
      <c r="C1024"/>
      <c r="M1024"/>
    </row>
    <row r="1025" spans="3:13" ht="12.75" customHeight="1" x14ac:dyDescent="0.2">
      <c r="C1025"/>
      <c r="M1025"/>
    </row>
    <row r="1026" spans="3:13" ht="12.75" customHeight="1" x14ac:dyDescent="0.2">
      <c r="C1026"/>
      <c r="M1026"/>
    </row>
    <row r="1027" spans="3:13" ht="12.75" customHeight="1" x14ac:dyDescent="0.2">
      <c r="C1027"/>
      <c r="M1027"/>
    </row>
    <row r="1028" spans="3:13" ht="12.75" customHeight="1" x14ac:dyDescent="0.2">
      <c r="C1028"/>
      <c r="M1028"/>
    </row>
    <row r="1029" spans="3:13" ht="12.75" customHeight="1" x14ac:dyDescent="0.2">
      <c r="C1029"/>
      <c r="M1029"/>
    </row>
    <row r="1030" spans="3:13" ht="12.75" customHeight="1" x14ac:dyDescent="0.2">
      <c r="C1030"/>
      <c r="M1030"/>
    </row>
    <row r="1031" spans="3:13" ht="12.75" customHeight="1" x14ac:dyDescent="0.2">
      <c r="C1031"/>
      <c r="M1031"/>
    </row>
    <row r="1032" spans="3:13" ht="12.75" customHeight="1" x14ac:dyDescent="0.2">
      <c r="C1032"/>
      <c r="M1032"/>
    </row>
    <row r="1033" spans="3:13" ht="12.75" customHeight="1" x14ac:dyDescent="0.2">
      <c r="C1033"/>
      <c r="M1033"/>
    </row>
    <row r="1034" spans="3:13" ht="12.75" customHeight="1" x14ac:dyDescent="0.2">
      <c r="C1034"/>
      <c r="M1034"/>
    </row>
    <row r="1035" spans="3:13" ht="12.75" customHeight="1" x14ac:dyDescent="0.2">
      <c r="C1035"/>
      <c r="M1035"/>
    </row>
    <row r="1036" spans="3:13" ht="12.75" customHeight="1" x14ac:dyDescent="0.2">
      <c r="C1036"/>
      <c r="M1036"/>
    </row>
    <row r="1037" spans="3:13" ht="12.75" customHeight="1" x14ac:dyDescent="0.2">
      <c r="C1037"/>
      <c r="M1037"/>
    </row>
    <row r="1038" spans="3:13" ht="12.75" customHeight="1" x14ac:dyDescent="0.2">
      <c r="C1038"/>
      <c r="M1038"/>
    </row>
    <row r="1039" spans="3:13" ht="12.75" customHeight="1" x14ac:dyDescent="0.2">
      <c r="C1039"/>
      <c r="M1039"/>
    </row>
    <row r="1040" spans="3:13" ht="12.75" customHeight="1" x14ac:dyDescent="0.2">
      <c r="C1040"/>
      <c r="M1040"/>
    </row>
    <row r="1041" spans="3:13" ht="12.75" customHeight="1" x14ac:dyDescent="0.2">
      <c r="C1041"/>
      <c r="M1041"/>
    </row>
    <row r="1042" spans="3:13" ht="12.75" customHeight="1" x14ac:dyDescent="0.2">
      <c r="C1042"/>
      <c r="M1042"/>
    </row>
    <row r="1043" spans="3:13" ht="12.75" customHeight="1" x14ac:dyDescent="0.2">
      <c r="C1043"/>
      <c r="M1043"/>
    </row>
    <row r="1044" spans="3:13" ht="12.75" customHeight="1" x14ac:dyDescent="0.2">
      <c r="C1044"/>
      <c r="M1044"/>
    </row>
    <row r="1045" spans="3:13" ht="12.75" customHeight="1" x14ac:dyDescent="0.2">
      <c r="C1045"/>
      <c r="M1045"/>
    </row>
    <row r="1046" spans="3:13" ht="12.75" customHeight="1" x14ac:dyDescent="0.2">
      <c r="C1046"/>
      <c r="M1046"/>
    </row>
    <row r="1047" spans="3:13" ht="12.75" customHeight="1" x14ac:dyDescent="0.2">
      <c r="C1047"/>
      <c r="M1047"/>
    </row>
    <row r="1048" spans="3:13" ht="12.75" customHeight="1" x14ac:dyDescent="0.2">
      <c r="C1048"/>
      <c r="M1048"/>
    </row>
    <row r="1049" spans="3:13" ht="12.75" customHeight="1" x14ac:dyDescent="0.2">
      <c r="C1049"/>
      <c r="M1049"/>
    </row>
    <row r="1050" spans="3:13" ht="12.75" customHeight="1" x14ac:dyDescent="0.2">
      <c r="C1050"/>
      <c r="M1050"/>
    </row>
    <row r="1051" spans="3:13" ht="12.75" customHeight="1" x14ac:dyDescent="0.2">
      <c r="C1051"/>
      <c r="M1051"/>
    </row>
    <row r="1052" spans="3:13" ht="12.75" customHeight="1" x14ac:dyDescent="0.2">
      <c r="C1052"/>
      <c r="M1052"/>
    </row>
    <row r="1053" spans="3:13" ht="12.75" customHeight="1" x14ac:dyDescent="0.2">
      <c r="C1053"/>
      <c r="M1053"/>
    </row>
    <row r="1054" spans="3:13" ht="12.75" customHeight="1" x14ac:dyDescent="0.2">
      <c r="C1054"/>
      <c r="M1054"/>
    </row>
    <row r="1055" spans="3:13" ht="12.75" customHeight="1" x14ac:dyDescent="0.2">
      <c r="C1055"/>
      <c r="M1055"/>
    </row>
    <row r="1056" spans="3:13" ht="12.75" customHeight="1" x14ac:dyDescent="0.2">
      <c r="C1056"/>
      <c r="M1056"/>
    </row>
    <row r="1057" spans="3:13" ht="12.75" customHeight="1" x14ac:dyDescent="0.2">
      <c r="C1057"/>
      <c r="M1057"/>
    </row>
    <row r="1058" spans="3:13" ht="12.75" customHeight="1" x14ac:dyDescent="0.2">
      <c r="C1058"/>
      <c r="M1058"/>
    </row>
    <row r="1059" spans="3:13" ht="12.75" customHeight="1" x14ac:dyDescent="0.2">
      <c r="C1059"/>
      <c r="M1059"/>
    </row>
    <row r="1060" spans="3:13" ht="12.75" customHeight="1" x14ac:dyDescent="0.2">
      <c r="C1060"/>
      <c r="M1060"/>
    </row>
    <row r="1061" spans="3:13" ht="12.75" customHeight="1" x14ac:dyDescent="0.2">
      <c r="C1061"/>
      <c r="M1061"/>
    </row>
    <row r="1062" spans="3:13" ht="12.75" customHeight="1" x14ac:dyDescent="0.2">
      <c r="C1062"/>
      <c r="M1062"/>
    </row>
    <row r="1063" spans="3:13" ht="12.75" customHeight="1" x14ac:dyDescent="0.2">
      <c r="C1063"/>
      <c r="M1063"/>
    </row>
    <row r="1064" spans="3:13" ht="12.75" customHeight="1" x14ac:dyDescent="0.2">
      <c r="C1064"/>
      <c r="M1064"/>
    </row>
    <row r="1065" spans="3:13" ht="12.75" customHeight="1" x14ac:dyDescent="0.2">
      <c r="C1065"/>
      <c r="M1065"/>
    </row>
    <row r="1066" spans="3:13" ht="12.75" customHeight="1" x14ac:dyDescent="0.2">
      <c r="C1066"/>
      <c r="M1066"/>
    </row>
    <row r="1067" spans="3:13" ht="12.75" customHeight="1" x14ac:dyDescent="0.2">
      <c r="C1067"/>
      <c r="M1067"/>
    </row>
    <row r="1068" spans="3:13" ht="12.75" customHeight="1" x14ac:dyDescent="0.2">
      <c r="C1068"/>
      <c r="M1068"/>
    </row>
    <row r="1069" spans="3:13" ht="12.75" customHeight="1" x14ac:dyDescent="0.2">
      <c r="C1069"/>
      <c r="M1069"/>
    </row>
    <row r="1070" spans="3:13" ht="12.75" customHeight="1" x14ac:dyDescent="0.2">
      <c r="C1070"/>
      <c r="M1070"/>
    </row>
    <row r="1071" spans="3:13" ht="12.75" customHeight="1" x14ac:dyDescent="0.2">
      <c r="C1071"/>
      <c r="M1071"/>
    </row>
    <row r="1072" spans="3:13" ht="12.75" customHeight="1" x14ac:dyDescent="0.2">
      <c r="C1072"/>
      <c r="M1072"/>
    </row>
    <row r="1073" spans="3:13" ht="12.75" customHeight="1" x14ac:dyDescent="0.2">
      <c r="C1073"/>
      <c r="M1073"/>
    </row>
    <row r="1074" spans="3:13" ht="12.75" customHeight="1" x14ac:dyDescent="0.2">
      <c r="C1074"/>
      <c r="M1074"/>
    </row>
    <row r="1075" spans="3:13" ht="12.75" customHeight="1" x14ac:dyDescent="0.2">
      <c r="C1075"/>
      <c r="M1075"/>
    </row>
    <row r="1076" spans="3:13" ht="12.75" customHeight="1" x14ac:dyDescent="0.2">
      <c r="C1076"/>
      <c r="M1076"/>
    </row>
    <row r="1077" spans="3:13" ht="12.75" customHeight="1" x14ac:dyDescent="0.2">
      <c r="C1077"/>
      <c r="M1077"/>
    </row>
    <row r="1078" spans="3:13" ht="12.75" customHeight="1" x14ac:dyDescent="0.2">
      <c r="C1078"/>
      <c r="M1078"/>
    </row>
    <row r="1079" spans="3:13" ht="12.75" customHeight="1" x14ac:dyDescent="0.2">
      <c r="C1079"/>
      <c r="M1079"/>
    </row>
    <row r="1080" spans="3:13" ht="12.75" customHeight="1" x14ac:dyDescent="0.2">
      <c r="C1080"/>
      <c r="M1080"/>
    </row>
    <row r="1081" spans="3:13" ht="12.75" customHeight="1" x14ac:dyDescent="0.2">
      <c r="C1081"/>
      <c r="M1081"/>
    </row>
    <row r="1082" spans="3:13" ht="12.75" customHeight="1" x14ac:dyDescent="0.2">
      <c r="C1082"/>
      <c r="M1082"/>
    </row>
    <row r="1083" spans="3:13" ht="12.75" customHeight="1" x14ac:dyDescent="0.2">
      <c r="C1083"/>
      <c r="M1083"/>
    </row>
    <row r="1084" spans="3:13" ht="12.75" customHeight="1" x14ac:dyDescent="0.2">
      <c r="C1084"/>
      <c r="M1084"/>
    </row>
    <row r="1085" spans="3:13" ht="12.75" customHeight="1" x14ac:dyDescent="0.2">
      <c r="C1085"/>
      <c r="M1085"/>
    </row>
    <row r="1086" spans="3:13" ht="12.75" customHeight="1" x14ac:dyDescent="0.2">
      <c r="C1086"/>
      <c r="M1086"/>
    </row>
    <row r="1087" spans="3:13" ht="12.75" customHeight="1" x14ac:dyDescent="0.2">
      <c r="C1087"/>
      <c r="M1087"/>
    </row>
    <row r="1088" spans="3:13" ht="12.75" customHeight="1" x14ac:dyDescent="0.2">
      <c r="C1088"/>
      <c r="M1088"/>
    </row>
    <row r="1089" spans="3:13" ht="12.75" customHeight="1" x14ac:dyDescent="0.2">
      <c r="C1089"/>
      <c r="M1089"/>
    </row>
    <row r="1090" spans="3:13" ht="12.75" customHeight="1" x14ac:dyDescent="0.2">
      <c r="C1090"/>
      <c r="M1090"/>
    </row>
    <row r="1091" spans="3:13" ht="12.75" customHeight="1" x14ac:dyDescent="0.2">
      <c r="C1091"/>
      <c r="M1091"/>
    </row>
    <row r="1092" spans="3:13" ht="12.75" customHeight="1" x14ac:dyDescent="0.2">
      <c r="C1092"/>
      <c r="M1092"/>
    </row>
    <row r="1093" spans="3:13" ht="12.75" customHeight="1" x14ac:dyDescent="0.2">
      <c r="C1093"/>
      <c r="M1093"/>
    </row>
    <row r="1094" spans="3:13" ht="12.75" customHeight="1" x14ac:dyDescent="0.2">
      <c r="C1094"/>
      <c r="M1094"/>
    </row>
    <row r="1095" spans="3:13" ht="12.75" customHeight="1" x14ac:dyDescent="0.2">
      <c r="C1095"/>
      <c r="M1095"/>
    </row>
    <row r="1096" spans="3:13" ht="12.75" customHeight="1" x14ac:dyDescent="0.2">
      <c r="C1096"/>
      <c r="M1096"/>
    </row>
    <row r="1097" spans="3:13" ht="12.75" customHeight="1" x14ac:dyDescent="0.2">
      <c r="C1097"/>
      <c r="M1097"/>
    </row>
    <row r="1098" spans="3:13" ht="12.75" customHeight="1" x14ac:dyDescent="0.2">
      <c r="C1098"/>
      <c r="M1098"/>
    </row>
    <row r="1099" spans="3:13" ht="12.75" customHeight="1" x14ac:dyDescent="0.2">
      <c r="C1099"/>
      <c r="M1099"/>
    </row>
    <row r="1100" spans="3:13" ht="12.75" customHeight="1" x14ac:dyDescent="0.2">
      <c r="C1100"/>
      <c r="M1100"/>
    </row>
    <row r="1101" spans="3:13" ht="12.75" customHeight="1" x14ac:dyDescent="0.2">
      <c r="C1101"/>
      <c r="M1101"/>
    </row>
    <row r="1102" spans="3:13" ht="12.75" customHeight="1" x14ac:dyDescent="0.2">
      <c r="C1102"/>
      <c r="M1102"/>
    </row>
    <row r="1103" spans="3:13" ht="12.75" customHeight="1" x14ac:dyDescent="0.2">
      <c r="C1103"/>
      <c r="M1103"/>
    </row>
    <row r="1104" spans="3:13" ht="12.75" customHeight="1" x14ac:dyDescent="0.2">
      <c r="C1104"/>
      <c r="M1104"/>
    </row>
    <row r="1105" spans="3:13" ht="12.75" customHeight="1" x14ac:dyDescent="0.2">
      <c r="C1105"/>
      <c r="M1105"/>
    </row>
    <row r="1106" spans="3:13" ht="12.75" customHeight="1" x14ac:dyDescent="0.2">
      <c r="C1106"/>
      <c r="M1106"/>
    </row>
    <row r="1107" spans="3:13" ht="12.75" customHeight="1" x14ac:dyDescent="0.2">
      <c r="C1107"/>
      <c r="M1107"/>
    </row>
    <row r="1108" spans="3:13" ht="12.75" customHeight="1" x14ac:dyDescent="0.2">
      <c r="C1108"/>
      <c r="M1108"/>
    </row>
    <row r="1109" spans="3:13" ht="12.75" customHeight="1" x14ac:dyDescent="0.2">
      <c r="C1109"/>
      <c r="M1109"/>
    </row>
    <row r="1110" spans="3:13" ht="12.75" customHeight="1" x14ac:dyDescent="0.2">
      <c r="C1110"/>
      <c r="M1110"/>
    </row>
    <row r="1111" spans="3:13" ht="12.75" customHeight="1" x14ac:dyDescent="0.2">
      <c r="C1111"/>
      <c r="M1111"/>
    </row>
    <row r="1112" spans="3:13" ht="12.75" customHeight="1" x14ac:dyDescent="0.2">
      <c r="C1112"/>
      <c r="M1112"/>
    </row>
    <row r="1113" spans="3:13" ht="12.75" customHeight="1" x14ac:dyDescent="0.2">
      <c r="C1113"/>
      <c r="M1113"/>
    </row>
    <row r="1114" spans="3:13" ht="12.75" customHeight="1" x14ac:dyDescent="0.2">
      <c r="C1114"/>
      <c r="M1114"/>
    </row>
    <row r="1115" spans="3:13" ht="12.75" customHeight="1" x14ac:dyDescent="0.2">
      <c r="C1115"/>
      <c r="M1115"/>
    </row>
    <row r="1116" spans="3:13" ht="12.75" customHeight="1" x14ac:dyDescent="0.2">
      <c r="C1116"/>
      <c r="M1116"/>
    </row>
    <row r="1117" spans="3:13" ht="12.75" customHeight="1" x14ac:dyDescent="0.2">
      <c r="C1117"/>
      <c r="M1117"/>
    </row>
    <row r="1118" spans="3:13" ht="12.75" customHeight="1" x14ac:dyDescent="0.2">
      <c r="C1118"/>
      <c r="M1118"/>
    </row>
    <row r="1119" spans="3:13" ht="12.75" customHeight="1" x14ac:dyDescent="0.2">
      <c r="C1119"/>
      <c r="M1119"/>
    </row>
    <row r="1120" spans="3:13" ht="12.75" customHeight="1" x14ac:dyDescent="0.2">
      <c r="C1120"/>
      <c r="M1120"/>
    </row>
    <row r="1121" spans="3:13" ht="12.75" customHeight="1" x14ac:dyDescent="0.2">
      <c r="C1121"/>
      <c r="M1121"/>
    </row>
    <row r="1122" spans="3:13" ht="12.75" customHeight="1" x14ac:dyDescent="0.2">
      <c r="C1122"/>
      <c r="M1122"/>
    </row>
    <row r="1123" spans="3:13" ht="12.75" customHeight="1" x14ac:dyDescent="0.2">
      <c r="C1123"/>
      <c r="M1123"/>
    </row>
    <row r="1124" spans="3:13" ht="12.75" customHeight="1" x14ac:dyDescent="0.2">
      <c r="C1124"/>
      <c r="M1124"/>
    </row>
    <row r="1125" spans="3:13" ht="12.75" customHeight="1" x14ac:dyDescent="0.2">
      <c r="C1125"/>
      <c r="M1125"/>
    </row>
    <row r="1126" spans="3:13" ht="12.75" customHeight="1" x14ac:dyDescent="0.2">
      <c r="C1126"/>
      <c r="M1126"/>
    </row>
    <row r="1127" spans="3:13" ht="12.75" customHeight="1" x14ac:dyDescent="0.2">
      <c r="C1127"/>
      <c r="M1127"/>
    </row>
    <row r="1128" spans="3:13" ht="12.75" customHeight="1" x14ac:dyDescent="0.2">
      <c r="C1128"/>
      <c r="M1128"/>
    </row>
    <row r="1129" spans="3:13" ht="12.75" customHeight="1" x14ac:dyDescent="0.2">
      <c r="C1129"/>
      <c r="M1129"/>
    </row>
    <row r="1130" spans="3:13" ht="12.75" customHeight="1" x14ac:dyDescent="0.2">
      <c r="C1130"/>
      <c r="M1130"/>
    </row>
    <row r="1131" spans="3:13" ht="12.75" customHeight="1" x14ac:dyDescent="0.2">
      <c r="C1131"/>
      <c r="M1131"/>
    </row>
    <row r="1132" spans="3:13" ht="12.75" customHeight="1" x14ac:dyDescent="0.2">
      <c r="C1132"/>
      <c r="M1132"/>
    </row>
    <row r="1133" spans="3:13" ht="12.75" customHeight="1" x14ac:dyDescent="0.2">
      <c r="C1133"/>
      <c r="M1133"/>
    </row>
    <row r="1134" spans="3:13" ht="12.75" customHeight="1" x14ac:dyDescent="0.2">
      <c r="C1134"/>
      <c r="M1134"/>
    </row>
    <row r="1135" spans="3:13" ht="12.75" customHeight="1" x14ac:dyDescent="0.2">
      <c r="C1135"/>
      <c r="M1135"/>
    </row>
    <row r="1136" spans="3:13" ht="12.75" customHeight="1" x14ac:dyDescent="0.2">
      <c r="C1136"/>
      <c r="M1136"/>
    </row>
    <row r="1137" spans="3:13" ht="12.75" customHeight="1" x14ac:dyDescent="0.2">
      <c r="C1137"/>
      <c r="M1137"/>
    </row>
    <row r="1138" spans="3:13" ht="12.75" customHeight="1" x14ac:dyDescent="0.2">
      <c r="C1138"/>
      <c r="M1138"/>
    </row>
    <row r="1139" spans="3:13" ht="12.75" customHeight="1" x14ac:dyDescent="0.2">
      <c r="C1139"/>
      <c r="M1139"/>
    </row>
    <row r="1140" spans="3:13" ht="12.75" customHeight="1" x14ac:dyDescent="0.2">
      <c r="C1140"/>
      <c r="M1140"/>
    </row>
    <row r="1141" spans="3:13" ht="12.75" customHeight="1" x14ac:dyDescent="0.2">
      <c r="C1141"/>
      <c r="M1141"/>
    </row>
    <row r="1142" spans="3:13" ht="12.75" customHeight="1" x14ac:dyDescent="0.2">
      <c r="C1142"/>
      <c r="M1142"/>
    </row>
    <row r="1143" spans="3:13" ht="12.75" customHeight="1" x14ac:dyDescent="0.2">
      <c r="C1143"/>
      <c r="M1143"/>
    </row>
    <row r="1144" spans="3:13" ht="12.75" customHeight="1" x14ac:dyDescent="0.2">
      <c r="C1144"/>
      <c r="M1144"/>
    </row>
    <row r="1145" spans="3:13" ht="12.75" customHeight="1" x14ac:dyDescent="0.2">
      <c r="C1145"/>
      <c r="M1145"/>
    </row>
    <row r="1146" spans="3:13" ht="12.75" customHeight="1" x14ac:dyDescent="0.2">
      <c r="C1146"/>
      <c r="M1146"/>
    </row>
    <row r="1147" spans="3:13" ht="12.75" customHeight="1" x14ac:dyDescent="0.2">
      <c r="C1147"/>
      <c r="M1147"/>
    </row>
    <row r="1148" spans="3:13" ht="12.75" customHeight="1" x14ac:dyDescent="0.2">
      <c r="C1148"/>
      <c r="M1148"/>
    </row>
    <row r="1149" spans="3:13" ht="12.75" customHeight="1" x14ac:dyDescent="0.2">
      <c r="C1149"/>
      <c r="M1149"/>
    </row>
    <row r="1150" spans="3:13" ht="12.75" customHeight="1" x14ac:dyDescent="0.2">
      <c r="C1150"/>
      <c r="M1150"/>
    </row>
    <row r="1151" spans="3:13" ht="12.75" customHeight="1" x14ac:dyDescent="0.2">
      <c r="C1151"/>
      <c r="M1151"/>
    </row>
    <row r="1152" spans="3:13" ht="12.75" customHeight="1" x14ac:dyDescent="0.2">
      <c r="C1152"/>
      <c r="M1152"/>
    </row>
    <row r="1153" spans="3:13" ht="12.75" customHeight="1" x14ac:dyDescent="0.2">
      <c r="C1153"/>
      <c r="M1153"/>
    </row>
    <row r="1154" spans="3:13" ht="12.75" customHeight="1" x14ac:dyDescent="0.2">
      <c r="C1154"/>
      <c r="M1154"/>
    </row>
    <row r="1155" spans="3:13" ht="12.75" customHeight="1" x14ac:dyDescent="0.2">
      <c r="C1155"/>
      <c r="M1155"/>
    </row>
    <row r="1156" spans="3:13" ht="12.75" customHeight="1" x14ac:dyDescent="0.2">
      <c r="C1156"/>
      <c r="M1156"/>
    </row>
    <row r="1157" spans="3:13" ht="12.75" customHeight="1" x14ac:dyDescent="0.2">
      <c r="C1157"/>
      <c r="M1157"/>
    </row>
    <row r="1158" spans="3:13" ht="12.75" customHeight="1" x14ac:dyDescent="0.2">
      <c r="C1158"/>
      <c r="M1158"/>
    </row>
    <row r="1159" spans="3:13" ht="12.75" customHeight="1" x14ac:dyDescent="0.2">
      <c r="C1159"/>
      <c r="M1159"/>
    </row>
    <row r="1160" spans="3:13" ht="12.75" customHeight="1" x14ac:dyDescent="0.2">
      <c r="C1160"/>
      <c r="M1160"/>
    </row>
    <row r="1161" spans="3:13" ht="12.75" customHeight="1" x14ac:dyDescent="0.2">
      <c r="C1161"/>
      <c r="M1161"/>
    </row>
    <row r="1162" spans="3:13" ht="12.75" customHeight="1" x14ac:dyDescent="0.2">
      <c r="C1162"/>
      <c r="M1162"/>
    </row>
    <row r="1163" spans="3:13" ht="12.75" customHeight="1" x14ac:dyDescent="0.2">
      <c r="C1163"/>
      <c r="M1163"/>
    </row>
    <row r="1164" spans="3:13" ht="12.75" customHeight="1" x14ac:dyDescent="0.2">
      <c r="C1164"/>
      <c r="M1164"/>
    </row>
    <row r="1165" spans="3:13" ht="12.75" customHeight="1" x14ac:dyDescent="0.2">
      <c r="C1165"/>
      <c r="M1165"/>
    </row>
    <row r="1166" spans="3:13" ht="12.75" customHeight="1" x14ac:dyDescent="0.2">
      <c r="C1166"/>
      <c r="M1166"/>
    </row>
    <row r="1167" spans="3:13" ht="12.75" customHeight="1" x14ac:dyDescent="0.2">
      <c r="C1167"/>
      <c r="M1167"/>
    </row>
    <row r="1168" spans="3:13" ht="12.75" customHeight="1" x14ac:dyDescent="0.2">
      <c r="C1168"/>
      <c r="M1168"/>
    </row>
    <row r="1169" spans="3:13" ht="12.75" customHeight="1" x14ac:dyDescent="0.2">
      <c r="C1169"/>
      <c r="M1169"/>
    </row>
    <row r="1170" spans="3:13" ht="12.75" customHeight="1" x14ac:dyDescent="0.2">
      <c r="C1170"/>
      <c r="M1170"/>
    </row>
    <row r="1171" spans="3:13" ht="12.75" customHeight="1" x14ac:dyDescent="0.2">
      <c r="C1171"/>
      <c r="M1171"/>
    </row>
    <row r="1172" spans="3:13" ht="12.75" customHeight="1" x14ac:dyDescent="0.2">
      <c r="C1172"/>
      <c r="M1172"/>
    </row>
    <row r="1173" spans="3:13" ht="12.75" customHeight="1" x14ac:dyDescent="0.2">
      <c r="C1173"/>
      <c r="M1173"/>
    </row>
    <row r="1174" spans="3:13" ht="12.75" customHeight="1" x14ac:dyDescent="0.2">
      <c r="C1174"/>
      <c r="M1174"/>
    </row>
    <row r="1175" spans="3:13" ht="12.75" customHeight="1" x14ac:dyDescent="0.2">
      <c r="C1175"/>
      <c r="M1175"/>
    </row>
    <row r="1176" spans="3:13" ht="12.75" customHeight="1" x14ac:dyDescent="0.2">
      <c r="C1176"/>
      <c r="M1176"/>
    </row>
    <row r="1177" spans="3:13" ht="12.75" customHeight="1" x14ac:dyDescent="0.2">
      <c r="C1177"/>
      <c r="M1177"/>
    </row>
    <row r="1178" spans="3:13" ht="12.75" customHeight="1" x14ac:dyDescent="0.2">
      <c r="C1178"/>
      <c r="M1178"/>
    </row>
    <row r="1179" spans="3:13" ht="12.75" customHeight="1" x14ac:dyDescent="0.2">
      <c r="C1179"/>
      <c r="M1179"/>
    </row>
    <row r="1180" spans="3:13" ht="12.75" customHeight="1" x14ac:dyDescent="0.2">
      <c r="C1180"/>
      <c r="M1180"/>
    </row>
    <row r="1181" spans="3:13" ht="12.75" customHeight="1" x14ac:dyDescent="0.2">
      <c r="C1181"/>
      <c r="M1181"/>
    </row>
    <row r="1182" spans="3:13" ht="12.75" customHeight="1" x14ac:dyDescent="0.2">
      <c r="C1182"/>
      <c r="M1182"/>
    </row>
    <row r="1183" spans="3:13" ht="12.75" customHeight="1" x14ac:dyDescent="0.2">
      <c r="C1183"/>
      <c r="M1183"/>
    </row>
    <row r="1184" spans="3:13" ht="12.75" customHeight="1" x14ac:dyDescent="0.2">
      <c r="C1184"/>
      <c r="M1184"/>
    </row>
    <row r="1185" spans="3:13" ht="12.75" customHeight="1" x14ac:dyDescent="0.2">
      <c r="C1185"/>
      <c r="M1185"/>
    </row>
    <row r="1186" spans="3:13" ht="12.75" customHeight="1" x14ac:dyDescent="0.2">
      <c r="C1186"/>
      <c r="M1186"/>
    </row>
    <row r="1187" spans="3:13" ht="12.75" customHeight="1" x14ac:dyDescent="0.2">
      <c r="C1187"/>
      <c r="M1187"/>
    </row>
    <row r="1188" spans="3:13" ht="12.75" customHeight="1" x14ac:dyDescent="0.2">
      <c r="C1188"/>
      <c r="M1188"/>
    </row>
    <row r="1189" spans="3:13" ht="12.75" customHeight="1" x14ac:dyDescent="0.2">
      <c r="C1189"/>
      <c r="M1189"/>
    </row>
    <row r="1190" spans="3:13" ht="12.75" customHeight="1" x14ac:dyDescent="0.2">
      <c r="C1190"/>
      <c r="M1190"/>
    </row>
    <row r="1191" spans="3:13" ht="12.75" customHeight="1" x14ac:dyDescent="0.2">
      <c r="C1191"/>
      <c r="M1191"/>
    </row>
    <row r="1192" spans="3:13" ht="12.75" customHeight="1" x14ac:dyDescent="0.2">
      <c r="C1192"/>
      <c r="M1192"/>
    </row>
    <row r="1193" spans="3:13" ht="12.75" customHeight="1" x14ac:dyDescent="0.2">
      <c r="C1193"/>
      <c r="M1193"/>
    </row>
    <row r="1194" spans="3:13" ht="12.75" customHeight="1" x14ac:dyDescent="0.2">
      <c r="C1194"/>
      <c r="M1194"/>
    </row>
    <row r="1195" spans="3:13" ht="12.75" customHeight="1" x14ac:dyDescent="0.2">
      <c r="C1195"/>
      <c r="M1195"/>
    </row>
    <row r="1196" spans="3:13" ht="12.75" customHeight="1" x14ac:dyDescent="0.2">
      <c r="C1196"/>
      <c r="M1196"/>
    </row>
    <row r="1197" spans="3:13" ht="12.75" customHeight="1" x14ac:dyDescent="0.2">
      <c r="C1197"/>
      <c r="M1197"/>
    </row>
    <row r="1198" spans="3:13" ht="12.75" customHeight="1" x14ac:dyDescent="0.2">
      <c r="C1198"/>
      <c r="M1198"/>
    </row>
    <row r="1199" spans="3:13" ht="12.75" customHeight="1" x14ac:dyDescent="0.2">
      <c r="C1199"/>
      <c r="M1199"/>
    </row>
    <row r="1200" spans="3:13" ht="12.75" customHeight="1" x14ac:dyDescent="0.2">
      <c r="C1200"/>
      <c r="M1200"/>
    </row>
    <row r="1201" spans="3:13" ht="12.75" customHeight="1" x14ac:dyDescent="0.2">
      <c r="C1201"/>
      <c r="M1201"/>
    </row>
    <row r="1202" spans="3:13" ht="12.75" customHeight="1" x14ac:dyDescent="0.2">
      <c r="C1202"/>
      <c r="M1202"/>
    </row>
    <row r="1203" spans="3:13" ht="12.75" customHeight="1" x14ac:dyDescent="0.2">
      <c r="C1203"/>
      <c r="M1203"/>
    </row>
    <row r="1204" spans="3:13" ht="12.75" customHeight="1" x14ac:dyDescent="0.2">
      <c r="C1204"/>
      <c r="M1204"/>
    </row>
    <row r="1205" spans="3:13" ht="12.75" customHeight="1" x14ac:dyDescent="0.2">
      <c r="C1205"/>
      <c r="M1205"/>
    </row>
    <row r="1206" spans="3:13" ht="12.75" customHeight="1" x14ac:dyDescent="0.2">
      <c r="C1206"/>
      <c r="M1206"/>
    </row>
    <row r="1207" spans="3:13" ht="12.75" customHeight="1" x14ac:dyDescent="0.2">
      <c r="C1207"/>
      <c r="M1207"/>
    </row>
    <row r="1208" spans="3:13" ht="12.75" customHeight="1" x14ac:dyDescent="0.2">
      <c r="C1208"/>
      <c r="M1208"/>
    </row>
    <row r="1209" spans="3:13" ht="12.75" customHeight="1" x14ac:dyDescent="0.2">
      <c r="C1209"/>
      <c r="M1209"/>
    </row>
    <row r="1210" spans="3:13" ht="12.75" customHeight="1" x14ac:dyDescent="0.2">
      <c r="C1210"/>
      <c r="M1210"/>
    </row>
    <row r="1211" spans="3:13" ht="12.75" customHeight="1" x14ac:dyDescent="0.2">
      <c r="C1211"/>
      <c r="M1211"/>
    </row>
    <row r="1212" spans="3:13" ht="12.75" customHeight="1" x14ac:dyDescent="0.2">
      <c r="C1212"/>
      <c r="M1212"/>
    </row>
    <row r="1213" spans="3:13" ht="12.75" customHeight="1" x14ac:dyDescent="0.2">
      <c r="C1213"/>
      <c r="M1213"/>
    </row>
    <row r="1214" spans="3:13" ht="12.75" customHeight="1" x14ac:dyDescent="0.2">
      <c r="C1214"/>
      <c r="M1214"/>
    </row>
    <row r="1215" spans="3:13" ht="12.75" customHeight="1" x14ac:dyDescent="0.2">
      <c r="C1215"/>
      <c r="M1215"/>
    </row>
    <row r="1216" spans="3:13" ht="12.75" customHeight="1" x14ac:dyDescent="0.2">
      <c r="C1216"/>
      <c r="M1216"/>
    </row>
    <row r="1217" spans="3:13" ht="12.75" customHeight="1" x14ac:dyDescent="0.2">
      <c r="C1217"/>
      <c r="M1217"/>
    </row>
    <row r="1218" spans="3:13" ht="12.75" customHeight="1" x14ac:dyDescent="0.2">
      <c r="C1218"/>
      <c r="M1218"/>
    </row>
    <row r="1219" spans="3:13" ht="12.75" customHeight="1" x14ac:dyDescent="0.2">
      <c r="C1219"/>
      <c r="M1219"/>
    </row>
    <row r="1220" spans="3:13" ht="12.75" customHeight="1" x14ac:dyDescent="0.2">
      <c r="C1220"/>
      <c r="M1220"/>
    </row>
    <row r="1221" spans="3:13" ht="12.75" customHeight="1" x14ac:dyDescent="0.2">
      <c r="C1221"/>
      <c r="M1221"/>
    </row>
    <row r="1222" spans="3:13" ht="12.75" customHeight="1" x14ac:dyDescent="0.2">
      <c r="C1222"/>
      <c r="M1222"/>
    </row>
    <row r="1223" spans="3:13" ht="12.75" customHeight="1" x14ac:dyDescent="0.2">
      <c r="C1223"/>
      <c r="M1223"/>
    </row>
    <row r="1224" spans="3:13" ht="12.75" customHeight="1" x14ac:dyDescent="0.2">
      <c r="C1224"/>
      <c r="M1224"/>
    </row>
    <row r="1225" spans="3:13" ht="12.75" customHeight="1" x14ac:dyDescent="0.2">
      <c r="C1225"/>
      <c r="M1225"/>
    </row>
    <row r="1226" spans="3:13" ht="12.75" customHeight="1" x14ac:dyDescent="0.2">
      <c r="C1226"/>
      <c r="M1226"/>
    </row>
    <row r="1227" spans="3:13" ht="12.75" customHeight="1" x14ac:dyDescent="0.2">
      <c r="C1227"/>
      <c r="M1227"/>
    </row>
    <row r="1228" spans="3:13" ht="12.75" customHeight="1" x14ac:dyDescent="0.2">
      <c r="C1228"/>
      <c r="M1228"/>
    </row>
    <row r="1229" spans="3:13" ht="12.75" customHeight="1" x14ac:dyDescent="0.2">
      <c r="C1229"/>
      <c r="M1229"/>
    </row>
    <row r="1230" spans="3:13" ht="12.75" customHeight="1" x14ac:dyDescent="0.2">
      <c r="C1230"/>
      <c r="M1230"/>
    </row>
    <row r="1231" spans="3:13" ht="12.75" customHeight="1" x14ac:dyDescent="0.2">
      <c r="C1231"/>
      <c r="M1231"/>
    </row>
    <row r="1232" spans="3:13" ht="12.75" customHeight="1" x14ac:dyDescent="0.2">
      <c r="C1232"/>
      <c r="M1232"/>
    </row>
    <row r="1233" spans="3:13" ht="12.75" customHeight="1" x14ac:dyDescent="0.2">
      <c r="C1233"/>
      <c r="M1233"/>
    </row>
    <row r="1234" spans="3:13" ht="12.75" customHeight="1" x14ac:dyDescent="0.2">
      <c r="C1234"/>
      <c r="M1234"/>
    </row>
    <row r="1235" spans="3:13" ht="12.75" customHeight="1" x14ac:dyDescent="0.2">
      <c r="C1235"/>
      <c r="M1235"/>
    </row>
    <row r="1236" spans="3:13" ht="12.75" customHeight="1" x14ac:dyDescent="0.2">
      <c r="C1236"/>
      <c r="M1236"/>
    </row>
    <row r="1237" spans="3:13" ht="12.75" customHeight="1" x14ac:dyDescent="0.2">
      <c r="C1237"/>
      <c r="M1237"/>
    </row>
    <row r="1238" spans="3:13" ht="12.75" customHeight="1" x14ac:dyDescent="0.2">
      <c r="C1238"/>
      <c r="M1238"/>
    </row>
    <row r="1239" spans="3:13" ht="12.75" customHeight="1" x14ac:dyDescent="0.2">
      <c r="C1239"/>
      <c r="M1239"/>
    </row>
    <row r="1240" spans="3:13" ht="12.75" customHeight="1" x14ac:dyDescent="0.2">
      <c r="C1240"/>
      <c r="M1240"/>
    </row>
    <row r="1241" spans="3:13" ht="12.75" customHeight="1" x14ac:dyDescent="0.2">
      <c r="C1241"/>
      <c r="M1241"/>
    </row>
    <row r="1242" spans="3:13" ht="12.75" customHeight="1" x14ac:dyDescent="0.2">
      <c r="C1242"/>
      <c r="M1242"/>
    </row>
    <row r="1243" spans="3:13" ht="12.75" customHeight="1" x14ac:dyDescent="0.2">
      <c r="C1243"/>
      <c r="M1243"/>
    </row>
    <row r="1244" spans="3:13" ht="12.75" customHeight="1" x14ac:dyDescent="0.2">
      <c r="C1244"/>
      <c r="M1244"/>
    </row>
    <row r="1245" spans="3:13" ht="12.75" customHeight="1" x14ac:dyDescent="0.2">
      <c r="C1245"/>
      <c r="M1245"/>
    </row>
    <row r="1246" spans="3:13" ht="12.75" customHeight="1" x14ac:dyDescent="0.2">
      <c r="C1246"/>
      <c r="M1246"/>
    </row>
    <row r="1247" spans="3:13" ht="12.75" customHeight="1" x14ac:dyDescent="0.2">
      <c r="C1247"/>
      <c r="M1247"/>
    </row>
    <row r="1248" spans="3:13" ht="12.75" customHeight="1" x14ac:dyDescent="0.2">
      <c r="C1248"/>
      <c r="M1248"/>
    </row>
    <row r="1249" spans="3:13" ht="12.75" customHeight="1" x14ac:dyDescent="0.2">
      <c r="C1249"/>
      <c r="M1249"/>
    </row>
    <row r="1250" spans="3:13" ht="12.75" customHeight="1" x14ac:dyDescent="0.2">
      <c r="C1250"/>
      <c r="M1250"/>
    </row>
    <row r="1251" spans="3:13" ht="12.75" customHeight="1" x14ac:dyDescent="0.2">
      <c r="C1251"/>
      <c r="M1251"/>
    </row>
    <row r="1252" spans="3:13" ht="12.75" customHeight="1" x14ac:dyDescent="0.2">
      <c r="C1252"/>
      <c r="M1252"/>
    </row>
    <row r="1253" spans="3:13" ht="12.75" customHeight="1" x14ac:dyDescent="0.2">
      <c r="C1253"/>
      <c r="M1253"/>
    </row>
    <row r="1254" spans="3:13" ht="12.75" customHeight="1" x14ac:dyDescent="0.2">
      <c r="C1254"/>
      <c r="M1254"/>
    </row>
    <row r="1255" spans="3:13" ht="12.75" customHeight="1" x14ac:dyDescent="0.2">
      <c r="C1255"/>
      <c r="M1255"/>
    </row>
    <row r="1256" spans="3:13" ht="12.75" customHeight="1" x14ac:dyDescent="0.2">
      <c r="C1256"/>
      <c r="M1256"/>
    </row>
    <row r="1257" spans="3:13" ht="12.75" customHeight="1" x14ac:dyDescent="0.2">
      <c r="C1257"/>
      <c r="M1257"/>
    </row>
    <row r="1258" spans="3:13" ht="12.75" customHeight="1" x14ac:dyDescent="0.2">
      <c r="C1258"/>
      <c r="M1258"/>
    </row>
    <row r="1259" spans="3:13" ht="12.75" customHeight="1" x14ac:dyDescent="0.2">
      <c r="C1259"/>
      <c r="M1259"/>
    </row>
    <row r="1260" spans="3:13" ht="12.75" customHeight="1" x14ac:dyDescent="0.2">
      <c r="C1260"/>
      <c r="M1260"/>
    </row>
    <row r="1261" spans="3:13" ht="12.75" customHeight="1" x14ac:dyDescent="0.2">
      <c r="C1261"/>
      <c r="M1261"/>
    </row>
    <row r="1262" spans="3:13" ht="12.75" customHeight="1" x14ac:dyDescent="0.2">
      <c r="C1262"/>
      <c r="M1262"/>
    </row>
    <row r="1263" spans="3:13" ht="12.75" customHeight="1" x14ac:dyDescent="0.2">
      <c r="C1263"/>
      <c r="M1263"/>
    </row>
    <row r="1264" spans="3:13" ht="12.75" customHeight="1" x14ac:dyDescent="0.2">
      <c r="C1264"/>
      <c r="M1264"/>
    </row>
    <row r="1265" spans="3:13" ht="12.75" customHeight="1" x14ac:dyDescent="0.2">
      <c r="C1265"/>
      <c r="M1265"/>
    </row>
    <row r="1266" spans="3:13" ht="12.75" customHeight="1" x14ac:dyDescent="0.2">
      <c r="C1266"/>
      <c r="M1266"/>
    </row>
    <row r="1267" spans="3:13" ht="12.75" customHeight="1" x14ac:dyDescent="0.2">
      <c r="C1267"/>
      <c r="M1267"/>
    </row>
    <row r="1268" spans="3:13" ht="12.75" customHeight="1" x14ac:dyDescent="0.2">
      <c r="C1268"/>
      <c r="M1268"/>
    </row>
    <row r="1269" spans="3:13" ht="12.75" customHeight="1" x14ac:dyDescent="0.2">
      <c r="C1269"/>
      <c r="M1269"/>
    </row>
    <row r="1270" spans="3:13" ht="12.75" customHeight="1" x14ac:dyDescent="0.2">
      <c r="C1270"/>
      <c r="M1270"/>
    </row>
    <row r="1271" spans="3:13" ht="12.75" customHeight="1" x14ac:dyDescent="0.2">
      <c r="C1271"/>
      <c r="M1271"/>
    </row>
    <row r="1272" spans="3:13" ht="12.75" customHeight="1" x14ac:dyDescent="0.2">
      <c r="C1272"/>
      <c r="M1272"/>
    </row>
    <row r="1273" spans="3:13" ht="12.75" customHeight="1" x14ac:dyDescent="0.2">
      <c r="C1273"/>
      <c r="M1273"/>
    </row>
    <row r="1274" spans="3:13" ht="12.75" customHeight="1" x14ac:dyDescent="0.2">
      <c r="C1274"/>
      <c r="M1274"/>
    </row>
    <row r="1275" spans="3:13" ht="12.75" customHeight="1" x14ac:dyDescent="0.2">
      <c r="C1275"/>
      <c r="M1275"/>
    </row>
    <row r="1276" spans="3:13" ht="12.75" customHeight="1" x14ac:dyDescent="0.2">
      <c r="C1276"/>
      <c r="M1276"/>
    </row>
    <row r="1277" spans="3:13" ht="12.75" customHeight="1" x14ac:dyDescent="0.2">
      <c r="C1277"/>
      <c r="M1277"/>
    </row>
    <row r="1278" spans="3:13" ht="12.75" customHeight="1" x14ac:dyDescent="0.2">
      <c r="C1278"/>
      <c r="M1278"/>
    </row>
    <row r="1279" spans="3:13" ht="12.75" customHeight="1" x14ac:dyDescent="0.2">
      <c r="C1279"/>
      <c r="M1279"/>
    </row>
    <row r="1280" spans="3:13" ht="12.75" customHeight="1" x14ac:dyDescent="0.2">
      <c r="C1280"/>
      <c r="M1280"/>
    </row>
    <row r="1281" spans="3:13" ht="12.75" customHeight="1" x14ac:dyDescent="0.2">
      <c r="C1281"/>
      <c r="M1281"/>
    </row>
    <row r="1282" spans="3:13" ht="12.75" customHeight="1" x14ac:dyDescent="0.2">
      <c r="C1282"/>
      <c r="M1282"/>
    </row>
    <row r="1283" spans="3:13" ht="12.75" customHeight="1" x14ac:dyDescent="0.2">
      <c r="C1283"/>
      <c r="M1283"/>
    </row>
    <row r="1284" spans="3:13" ht="12.75" customHeight="1" x14ac:dyDescent="0.2">
      <c r="C1284"/>
      <c r="M1284"/>
    </row>
    <row r="1285" spans="3:13" ht="12.75" customHeight="1" x14ac:dyDescent="0.2">
      <c r="C1285"/>
      <c r="M1285"/>
    </row>
    <row r="1286" spans="3:13" ht="12.75" customHeight="1" x14ac:dyDescent="0.2">
      <c r="C1286"/>
      <c r="M1286"/>
    </row>
    <row r="1287" spans="3:13" ht="12.75" customHeight="1" x14ac:dyDescent="0.2">
      <c r="C1287"/>
      <c r="M1287"/>
    </row>
    <row r="1288" spans="3:13" ht="12.75" customHeight="1" x14ac:dyDescent="0.2">
      <c r="C1288"/>
      <c r="M1288"/>
    </row>
    <row r="1289" spans="3:13" ht="12.75" customHeight="1" x14ac:dyDescent="0.2">
      <c r="C1289"/>
      <c r="M1289"/>
    </row>
    <row r="1290" spans="3:13" ht="12.75" customHeight="1" x14ac:dyDescent="0.2">
      <c r="C1290"/>
      <c r="M1290"/>
    </row>
    <row r="1291" spans="3:13" ht="12.75" customHeight="1" x14ac:dyDescent="0.2">
      <c r="C1291"/>
      <c r="M1291"/>
    </row>
    <row r="1292" spans="3:13" ht="12.75" customHeight="1" x14ac:dyDescent="0.2">
      <c r="C1292"/>
      <c r="M1292"/>
    </row>
    <row r="1293" spans="3:13" ht="12.75" customHeight="1" x14ac:dyDescent="0.2">
      <c r="C1293"/>
      <c r="M1293"/>
    </row>
    <row r="1294" spans="3:13" ht="12.75" customHeight="1" x14ac:dyDescent="0.2">
      <c r="C1294"/>
      <c r="M1294"/>
    </row>
    <row r="1295" spans="3:13" ht="12.75" customHeight="1" x14ac:dyDescent="0.2">
      <c r="C1295"/>
      <c r="M1295"/>
    </row>
    <row r="1296" spans="3:13" ht="12.75" customHeight="1" x14ac:dyDescent="0.2">
      <c r="C1296"/>
      <c r="M1296"/>
    </row>
    <row r="1297" spans="3:13" ht="12.75" customHeight="1" x14ac:dyDescent="0.2">
      <c r="C1297"/>
      <c r="M1297"/>
    </row>
    <row r="1298" spans="3:13" ht="12.75" customHeight="1" x14ac:dyDescent="0.2">
      <c r="C1298"/>
      <c r="M1298"/>
    </row>
    <row r="1299" spans="3:13" ht="12.75" customHeight="1" x14ac:dyDescent="0.2">
      <c r="C1299"/>
      <c r="M1299"/>
    </row>
    <row r="1300" spans="3:13" ht="12.75" customHeight="1" x14ac:dyDescent="0.2">
      <c r="C1300"/>
      <c r="M1300"/>
    </row>
    <row r="1301" spans="3:13" ht="12.75" customHeight="1" x14ac:dyDescent="0.2">
      <c r="C1301"/>
      <c r="M1301"/>
    </row>
    <row r="1302" spans="3:13" ht="12.75" customHeight="1" x14ac:dyDescent="0.2">
      <c r="C1302"/>
      <c r="M1302"/>
    </row>
    <row r="1303" spans="3:13" ht="12.75" customHeight="1" x14ac:dyDescent="0.2">
      <c r="C1303"/>
      <c r="M1303"/>
    </row>
    <row r="1304" spans="3:13" ht="12.75" customHeight="1" x14ac:dyDescent="0.2">
      <c r="C1304"/>
      <c r="M1304"/>
    </row>
    <row r="1305" spans="3:13" ht="12.75" customHeight="1" x14ac:dyDescent="0.2">
      <c r="C1305"/>
      <c r="M1305"/>
    </row>
    <row r="1306" spans="3:13" ht="12.75" customHeight="1" x14ac:dyDescent="0.2">
      <c r="C1306"/>
      <c r="M1306"/>
    </row>
    <row r="1307" spans="3:13" ht="12.75" customHeight="1" x14ac:dyDescent="0.2">
      <c r="C1307"/>
      <c r="M1307"/>
    </row>
    <row r="1308" spans="3:13" ht="12.75" customHeight="1" x14ac:dyDescent="0.2">
      <c r="C1308"/>
      <c r="M1308"/>
    </row>
    <row r="1309" spans="3:13" ht="12.75" customHeight="1" x14ac:dyDescent="0.2">
      <c r="C1309"/>
      <c r="M1309"/>
    </row>
    <row r="1310" spans="3:13" ht="12.75" customHeight="1" x14ac:dyDescent="0.2">
      <c r="C1310"/>
      <c r="M1310"/>
    </row>
    <row r="1311" spans="3:13" ht="12.75" customHeight="1" x14ac:dyDescent="0.2">
      <c r="C1311"/>
      <c r="M1311"/>
    </row>
    <row r="1312" spans="3:13" ht="12.75" customHeight="1" x14ac:dyDescent="0.2">
      <c r="C1312"/>
      <c r="M1312"/>
    </row>
    <row r="1313" spans="3:13" ht="12.75" customHeight="1" x14ac:dyDescent="0.2">
      <c r="C1313"/>
      <c r="M1313"/>
    </row>
    <row r="1314" spans="3:13" ht="12.75" customHeight="1" x14ac:dyDescent="0.2">
      <c r="C1314"/>
      <c r="M1314"/>
    </row>
    <row r="1315" spans="3:13" ht="12.75" customHeight="1" x14ac:dyDescent="0.2">
      <c r="C1315"/>
      <c r="M1315"/>
    </row>
    <row r="1316" spans="3:13" ht="12.75" customHeight="1" x14ac:dyDescent="0.2">
      <c r="C1316"/>
      <c r="M1316"/>
    </row>
    <row r="1317" spans="3:13" ht="12.75" customHeight="1" x14ac:dyDescent="0.2">
      <c r="C1317"/>
      <c r="M1317"/>
    </row>
    <row r="1318" spans="3:13" ht="12.75" customHeight="1" x14ac:dyDescent="0.2">
      <c r="C1318"/>
      <c r="M1318"/>
    </row>
    <row r="1319" spans="3:13" ht="12.75" customHeight="1" x14ac:dyDescent="0.2">
      <c r="C1319"/>
      <c r="M1319"/>
    </row>
    <row r="1320" spans="3:13" ht="12.75" customHeight="1" x14ac:dyDescent="0.2">
      <c r="C1320"/>
      <c r="M1320"/>
    </row>
    <row r="1321" spans="3:13" ht="12.75" customHeight="1" x14ac:dyDescent="0.2">
      <c r="C1321"/>
      <c r="M1321"/>
    </row>
    <row r="1322" spans="3:13" ht="12.75" customHeight="1" x14ac:dyDescent="0.2">
      <c r="C1322"/>
      <c r="M1322"/>
    </row>
    <row r="1323" spans="3:13" ht="12.75" customHeight="1" x14ac:dyDescent="0.2">
      <c r="C1323"/>
      <c r="M1323"/>
    </row>
    <row r="1324" spans="3:13" ht="12.75" customHeight="1" x14ac:dyDescent="0.2">
      <c r="C1324"/>
      <c r="M1324"/>
    </row>
    <row r="1325" spans="3:13" ht="12.75" customHeight="1" x14ac:dyDescent="0.2">
      <c r="C1325"/>
      <c r="M1325"/>
    </row>
    <row r="1326" spans="3:13" ht="12.75" customHeight="1" x14ac:dyDescent="0.2">
      <c r="C1326"/>
      <c r="M1326"/>
    </row>
    <row r="1327" spans="3:13" ht="12.75" customHeight="1" x14ac:dyDescent="0.2">
      <c r="C1327"/>
      <c r="M1327"/>
    </row>
    <row r="1328" spans="3:13" ht="12.75" customHeight="1" x14ac:dyDescent="0.2">
      <c r="C1328"/>
      <c r="M1328"/>
    </row>
    <row r="1329" spans="3:13" ht="12.75" customHeight="1" x14ac:dyDescent="0.2">
      <c r="C1329"/>
      <c r="M1329"/>
    </row>
    <row r="1330" spans="3:13" ht="12.75" customHeight="1" x14ac:dyDescent="0.2">
      <c r="C1330"/>
      <c r="M1330"/>
    </row>
    <row r="1331" spans="3:13" ht="12.75" customHeight="1" x14ac:dyDescent="0.2">
      <c r="C1331"/>
      <c r="M1331"/>
    </row>
    <row r="1332" spans="3:13" ht="12.75" customHeight="1" x14ac:dyDescent="0.2">
      <c r="C1332"/>
      <c r="M1332"/>
    </row>
    <row r="1333" spans="3:13" ht="12.75" customHeight="1" x14ac:dyDescent="0.2">
      <c r="C1333"/>
      <c r="M1333"/>
    </row>
    <row r="1334" spans="3:13" ht="12.75" customHeight="1" x14ac:dyDescent="0.2">
      <c r="C1334"/>
      <c r="M1334"/>
    </row>
    <row r="1335" spans="3:13" ht="12.75" customHeight="1" x14ac:dyDescent="0.2">
      <c r="C1335"/>
      <c r="M1335"/>
    </row>
    <row r="1336" spans="3:13" ht="12.75" customHeight="1" x14ac:dyDescent="0.2">
      <c r="C1336"/>
      <c r="M1336"/>
    </row>
    <row r="1337" spans="3:13" ht="12.75" customHeight="1" x14ac:dyDescent="0.2">
      <c r="C1337"/>
      <c r="M1337"/>
    </row>
    <row r="1338" spans="3:13" ht="12.75" customHeight="1" x14ac:dyDescent="0.2">
      <c r="C1338"/>
      <c r="M1338"/>
    </row>
    <row r="1339" spans="3:13" ht="12.75" customHeight="1" x14ac:dyDescent="0.2">
      <c r="C1339"/>
      <c r="M1339"/>
    </row>
    <row r="1340" spans="3:13" ht="12.75" customHeight="1" x14ac:dyDescent="0.2">
      <c r="C1340"/>
      <c r="M1340"/>
    </row>
    <row r="1341" spans="3:13" ht="12.75" customHeight="1" x14ac:dyDescent="0.2">
      <c r="C1341"/>
      <c r="M1341"/>
    </row>
    <row r="1342" spans="3:13" ht="12.75" customHeight="1" x14ac:dyDescent="0.2">
      <c r="C1342"/>
      <c r="M1342"/>
    </row>
    <row r="1343" spans="3:13" ht="12.75" customHeight="1" x14ac:dyDescent="0.2">
      <c r="C1343"/>
      <c r="M1343"/>
    </row>
    <row r="1344" spans="3:13" ht="12.75" customHeight="1" x14ac:dyDescent="0.2">
      <c r="C1344"/>
      <c r="M1344"/>
    </row>
    <row r="1345" spans="3:13" ht="12.75" customHeight="1" x14ac:dyDescent="0.2">
      <c r="C1345"/>
      <c r="M1345"/>
    </row>
    <row r="1346" spans="3:13" ht="12.75" customHeight="1" x14ac:dyDescent="0.2">
      <c r="C1346"/>
      <c r="M1346"/>
    </row>
    <row r="1347" spans="3:13" ht="12.75" customHeight="1" x14ac:dyDescent="0.2">
      <c r="C1347"/>
      <c r="M1347"/>
    </row>
    <row r="1348" spans="3:13" ht="12.75" customHeight="1" x14ac:dyDescent="0.2">
      <c r="C1348"/>
      <c r="M1348"/>
    </row>
    <row r="1349" spans="3:13" ht="12.75" customHeight="1" x14ac:dyDescent="0.2">
      <c r="C1349"/>
      <c r="M1349"/>
    </row>
    <row r="1350" spans="3:13" ht="12.75" customHeight="1" x14ac:dyDescent="0.2">
      <c r="C1350"/>
      <c r="M1350"/>
    </row>
    <row r="1351" spans="3:13" ht="12.75" customHeight="1" x14ac:dyDescent="0.2">
      <c r="C1351"/>
      <c r="M1351"/>
    </row>
    <row r="1352" spans="3:13" ht="12.75" customHeight="1" x14ac:dyDescent="0.2">
      <c r="C1352"/>
      <c r="M1352"/>
    </row>
    <row r="1353" spans="3:13" ht="12.75" customHeight="1" x14ac:dyDescent="0.2">
      <c r="C1353"/>
      <c r="M1353"/>
    </row>
    <row r="1354" spans="3:13" ht="12.75" customHeight="1" x14ac:dyDescent="0.2">
      <c r="C1354"/>
      <c r="M1354"/>
    </row>
    <row r="1355" spans="3:13" ht="12.75" customHeight="1" x14ac:dyDescent="0.2">
      <c r="C1355"/>
      <c r="M1355"/>
    </row>
    <row r="1356" spans="3:13" ht="12.75" customHeight="1" x14ac:dyDescent="0.2">
      <c r="C1356"/>
      <c r="M1356"/>
    </row>
    <row r="1357" spans="3:13" ht="12.75" customHeight="1" x14ac:dyDescent="0.2">
      <c r="C1357"/>
      <c r="M1357"/>
    </row>
    <row r="1358" spans="3:13" ht="12.75" customHeight="1" x14ac:dyDescent="0.2">
      <c r="C1358"/>
      <c r="M1358"/>
    </row>
    <row r="1359" spans="3:13" ht="12.75" customHeight="1" x14ac:dyDescent="0.2">
      <c r="C1359"/>
      <c r="M1359"/>
    </row>
    <row r="1360" spans="3:13" ht="12.75" customHeight="1" x14ac:dyDescent="0.2">
      <c r="C1360"/>
      <c r="M1360"/>
    </row>
    <row r="1361" spans="3:13" ht="12.75" customHeight="1" x14ac:dyDescent="0.2">
      <c r="C1361"/>
      <c r="M1361"/>
    </row>
    <row r="1362" spans="3:13" ht="12.75" customHeight="1" x14ac:dyDescent="0.2">
      <c r="C1362"/>
      <c r="M1362"/>
    </row>
    <row r="1363" spans="3:13" ht="12.75" customHeight="1" x14ac:dyDescent="0.2">
      <c r="C1363"/>
      <c r="M1363"/>
    </row>
    <row r="1364" spans="3:13" ht="12.75" customHeight="1" x14ac:dyDescent="0.2">
      <c r="C1364"/>
      <c r="M1364"/>
    </row>
    <row r="1365" spans="3:13" ht="12.75" customHeight="1" x14ac:dyDescent="0.2">
      <c r="C1365"/>
      <c r="M1365"/>
    </row>
    <row r="1366" spans="3:13" ht="12.75" customHeight="1" x14ac:dyDescent="0.2">
      <c r="C1366"/>
      <c r="M1366"/>
    </row>
    <row r="1367" spans="3:13" ht="12.75" customHeight="1" x14ac:dyDescent="0.2">
      <c r="C1367"/>
      <c r="M1367"/>
    </row>
    <row r="1368" spans="3:13" ht="12.75" customHeight="1" x14ac:dyDescent="0.2">
      <c r="C1368"/>
      <c r="M1368"/>
    </row>
    <row r="1369" spans="3:13" ht="12.75" customHeight="1" x14ac:dyDescent="0.2">
      <c r="C1369"/>
      <c r="M1369"/>
    </row>
    <row r="1370" spans="3:13" ht="12.75" customHeight="1" x14ac:dyDescent="0.2">
      <c r="C1370"/>
      <c r="M1370"/>
    </row>
    <row r="1371" spans="3:13" ht="12.75" customHeight="1" x14ac:dyDescent="0.2">
      <c r="C1371"/>
      <c r="M1371"/>
    </row>
    <row r="1372" spans="3:13" ht="12.75" customHeight="1" x14ac:dyDescent="0.2">
      <c r="C1372"/>
      <c r="M1372"/>
    </row>
    <row r="1373" spans="3:13" ht="12.75" customHeight="1" x14ac:dyDescent="0.2">
      <c r="C1373"/>
      <c r="M1373"/>
    </row>
    <row r="1374" spans="3:13" ht="12.75" customHeight="1" x14ac:dyDescent="0.2">
      <c r="C1374"/>
      <c r="M1374"/>
    </row>
    <row r="1375" spans="3:13" ht="12.75" customHeight="1" x14ac:dyDescent="0.2">
      <c r="C1375"/>
      <c r="M1375"/>
    </row>
    <row r="1376" spans="3:13" ht="12.75" customHeight="1" x14ac:dyDescent="0.2">
      <c r="C1376"/>
      <c r="M1376"/>
    </row>
    <row r="1377" spans="3:13" ht="12.75" customHeight="1" x14ac:dyDescent="0.2">
      <c r="C1377"/>
      <c r="M1377"/>
    </row>
    <row r="1378" spans="3:13" ht="12.75" customHeight="1" x14ac:dyDescent="0.2">
      <c r="C1378"/>
      <c r="M1378"/>
    </row>
    <row r="1379" spans="3:13" ht="12.75" customHeight="1" x14ac:dyDescent="0.2">
      <c r="C1379"/>
      <c r="M1379"/>
    </row>
    <row r="1380" spans="3:13" ht="12.75" customHeight="1" x14ac:dyDescent="0.2">
      <c r="C1380"/>
      <c r="M1380"/>
    </row>
    <row r="1381" spans="3:13" ht="12.75" customHeight="1" x14ac:dyDescent="0.2">
      <c r="C1381"/>
      <c r="M1381"/>
    </row>
    <row r="1382" spans="3:13" ht="12.75" customHeight="1" x14ac:dyDescent="0.2">
      <c r="C1382"/>
      <c r="M1382"/>
    </row>
    <row r="1383" spans="3:13" ht="12.75" customHeight="1" x14ac:dyDescent="0.2">
      <c r="C1383"/>
      <c r="M1383"/>
    </row>
    <row r="1384" spans="3:13" ht="12.75" customHeight="1" x14ac:dyDescent="0.2">
      <c r="C1384"/>
      <c r="M1384"/>
    </row>
    <row r="1385" spans="3:13" ht="12.75" customHeight="1" x14ac:dyDescent="0.2">
      <c r="C1385"/>
      <c r="M1385"/>
    </row>
    <row r="1386" spans="3:13" ht="12.75" customHeight="1" x14ac:dyDescent="0.2">
      <c r="C1386"/>
      <c r="M1386"/>
    </row>
    <row r="1387" spans="3:13" ht="12.75" customHeight="1" x14ac:dyDescent="0.2">
      <c r="C1387"/>
      <c r="M1387"/>
    </row>
    <row r="1388" spans="3:13" ht="12.75" customHeight="1" x14ac:dyDescent="0.2">
      <c r="C1388"/>
      <c r="M1388"/>
    </row>
    <row r="1389" spans="3:13" ht="12.75" customHeight="1" x14ac:dyDescent="0.2">
      <c r="C1389"/>
      <c r="M1389"/>
    </row>
    <row r="1390" spans="3:13" ht="12.75" customHeight="1" x14ac:dyDescent="0.2">
      <c r="C1390"/>
      <c r="M1390"/>
    </row>
    <row r="1391" spans="3:13" ht="12.75" customHeight="1" x14ac:dyDescent="0.2">
      <c r="C1391"/>
      <c r="M1391"/>
    </row>
    <row r="1392" spans="3:13" ht="12.75" customHeight="1" x14ac:dyDescent="0.2">
      <c r="C1392"/>
      <c r="M1392"/>
    </row>
    <row r="1393" spans="3:13" ht="12.75" customHeight="1" x14ac:dyDescent="0.2">
      <c r="C1393"/>
      <c r="M1393"/>
    </row>
    <row r="1394" spans="3:13" ht="12.75" customHeight="1" x14ac:dyDescent="0.2">
      <c r="C1394"/>
      <c r="M1394"/>
    </row>
    <row r="1395" spans="3:13" ht="12.75" customHeight="1" x14ac:dyDescent="0.2">
      <c r="C1395"/>
      <c r="M1395"/>
    </row>
    <row r="1396" spans="3:13" ht="12.75" customHeight="1" x14ac:dyDescent="0.2">
      <c r="C1396"/>
      <c r="M1396"/>
    </row>
    <row r="1397" spans="3:13" ht="12.75" customHeight="1" x14ac:dyDescent="0.2">
      <c r="C1397"/>
      <c r="M1397"/>
    </row>
    <row r="1398" spans="3:13" ht="12.75" customHeight="1" x14ac:dyDescent="0.2">
      <c r="C1398"/>
      <c r="M1398"/>
    </row>
    <row r="1399" spans="3:13" ht="12.75" customHeight="1" x14ac:dyDescent="0.2">
      <c r="C1399"/>
      <c r="M1399"/>
    </row>
    <row r="1400" spans="3:13" ht="12.75" customHeight="1" x14ac:dyDescent="0.2">
      <c r="C1400"/>
      <c r="M1400"/>
    </row>
    <row r="1401" spans="3:13" ht="12.75" customHeight="1" x14ac:dyDescent="0.2">
      <c r="C1401"/>
      <c r="M1401"/>
    </row>
    <row r="1402" spans="3:13" ht="12.75" customHeight="1" x14ac:dyDescent="0.2">
      <c r="C1402"/>
      <c r="M1402"/>
    </row>
    <row r="1403" spans="3:13" ht="12.75" customHeight="1" x14ac:dyDescent="0.2">
      <c r="C1403"/>
      <c r="M1403"/>
    </row>
    <row r="1404" spans="3:13" ht="12.75" customHeight="1" x14ac:dyDescent="0.2">
      <c r="C1404"/>
      <c r="M1404"/>
    </row>
    <row r="1405" spans="3:13" ht="12.75" customHeight="1" x14ac:dyDescent="0.2">
      <c r="C1405"/>
      <c r="M1405"/>
    </row>
    <row r="1406" spans="3:13" ht="12.75" customHeight="1" x14ac:dyDescent="0.2">
      <c r="C1406"/>
      <c r="M1406"/>
    </row>
    <row r="1407" spans="3:13" ht="12.75" customHeight="1" x14ac:dyDescent="0.2">
      <c r="C1407"/>
      <c r="M1407"/>
    </row>
    <row r="1408" spans="3:13" ht="12.75" customHeight="1" x14ac:dyDescent="0.2">
      <c r="C1408"/>
      <c r="M1408"/>
    </row>
    <row r="1409" spans="3:13" ht="12.75" customHeight="1" x14ac:dyDescent="0.2">
      <c r="C1409"/>
      <c r="M1409"/>
    </row>
    <row r="1410" spans="3:13" ht="12.75" customHeight="1" x14ac:dyDescent="0.2">
      <c r="C1410"/>
      <c r="M1410"/>
    </row>
    <row r="1411" spans="3:13" ht="12.75" customHeight="1" x14ac:dyDescent="0.2">
      <c r="C1411"/>
      <c r="M1411"/>
    </row>
    <row r="1412" spans="3:13" ht="12.75" customHeight="1" x14ac:dyDescent="0.2">
      <c r="C1412"/>
      <c r="M1412"/>
    </row>
    <row r="1413" spans="3:13" ht="12.75" customHeight="1" x14ac:dyDescent="0.2">
      <c r="C1413"/>
      <c r="M1413"/>
    </row>
    <row r="1414" spans="3:13" ht="12.75" customHeight="1" x14ac:dyDescent="0.2">
      <c r="C1414"/>
      <c r="M1414"/>
    </row>
    <row r="1415" spans="3:13" ht="12.75" customHeight="1" x14ac:dyDescent="0.2">
      <c r="C1415"/>
      <c r="M1415"/>
    </row>
    <row r="1416" spans="3:13" ht="12.75" customHeight="1" x14ac:dyDescent="0.2">
      <c r="C1416"/>
      <c r="M1416"/>
    </row>
    <row r="1417" spans="3:13" ht="12.75" customHeight="1" x14ac:dyDescent="0.2">
      <c r="C1417"/>
      <c r="M1417"/>
    </row>
    <row r="1418" spans="3:13" ht="12.75" customHeight="1" x14ac:dyDescent="0.2">
      <c r="C1418"/>
      <c r="M1418"/>
    </row>
    <row r="1419" spans="3:13" ht="12.75" customHeight="1" x14ac:dyDescent="0.2">
      <c r="C1419"/>
      <c r="M1419"/>
    </row>
    <row r="1420" spans="3:13" ht="12.75" customHeight="1" x14ac:dyDescent="0.2">
      <c r="C1420"/>
      <c r="M1420"/>
    </row>
    <row r="1421" spans="3:13" ht="12.75" customHeight="1" x14ac:dyDescent="0.2">
      <c r="C1421"/>
      <c r="M1421"/>
    </row>
    <row r="1422" spans="3:13" ht="12.75" customHeight="1" x14ac:dyDescent="0.2">
      <c r="C1422"/>
      <c r="M1422"/>
    </row>
    <row r="1423" spans="3:13" ht="12.75" customHeight="1" x14ac:dyDescent="0.2">
      <c r="C1423"/>
      <c r="M1423"/>
    </row>
    <row r="1424" spans="3:13" ht="12.75" customHeight="1" x14ac:dyDescent="0.2">
      <c r="C1424"/>
      <c r="M1424"/>
    </row>
    <row r="1425" spans="3:13" ht="12.75" customHeight="1" x14ac:dyDescent="0.2">
      <c r="C1425"/>
      <c r="M1425"/>
    </row>
    <row r="1426" spans="3:13" ht="12.75" customHeight="1" x14ac:dyDescent="0.2">
      <c r="C1426"/>
      <c r="M1426"/>
    </row>
    <row r="1427" spans="3:13" ht="12.75" customHeight="1" x14ac:dyDescent="0.2">
      <c r="C1427"/>
      <c r="M1427"/>
    </row>
    <row r="1428" spans="3:13" ht="12.75" customHeight="1" x14ac:dyDescent="0.2">
      <c r="C1428"/>
      <c r="M1428"/>
    </row>
    <row r="1429" spans="3:13" ht="12.75" customHeight="1" x14ac:dyDescent="0.2">
      <c r="C1429"/>
      <c r="M1429"/>
    </row>
    <row r="1430" spans="3:13" ht="12.75" customHeight="1" x14ac:dyDescent="0.2">
      <c r="C1430"/>
      <c r="M1430"/>
    </row>
    <row r="1431" spans="3:13" ht="12.75" customHeight="1" x14ac:dyDescent="0.2">
      <c r="C1431"/>
      <c r="M1431"/>
    </row>
    <row r="1432" spans="3:13" ht="12.75" customHeight="1" x14ac:dyDescent="0.2">
      <c r="C1432"/>
      <c r="M1432"/>
    </row>
    <row r="1433" spans="3:13" ht="12.75" customHeight="1" x14ac:dyDescent="0.2">
      <c r="C1433"/>
      <c r="M1433"/>
    </row>
    <row r="1434" spans="3:13" ht="12.75" customHeight="1" x14ac:dyDescent="0.2">
      <c r="C1434"/>
      <c r="M1434"/>
    </row>
    <row r="1435" spans="3:13" ht="12.75" customHeight="1" x14ac:dyDescent="0.2">
      <c r="C1435"/>
      <c r="M1435"/>
    </row>
    <row r="1436" spans="3:13" ht="12.75" customHeight="1" x14ac:dyDescent="0.2">
      <c r="C1436"/>
      <c r="M1436"/>
    </row>
    <row r="1437" spans="3:13" ht="12.75" customHeight="1" x14ac:dyDescent="0.2">
      <c r="C1437"/>
      <c r="M1437"/>
    </row>
    <row r="1438" spans="3:13" ht="12.75" customHeight="1" x14ac:dyDescent="0.2">
      <c r="C1438"/>
      <c r="M1438"/>
    </row>
    <row r="1439" spans="3:13" ht="12.75" customHeight="1" x14ac:dyDescent="0.2">
      <c r="C1439"/>
      <c r="M1439"/>
    </row>
    <row r="1440" spans="3:13" ht="12.75" customHeight="1" x14ac:dyDescent="0.2">
      <c r="C1440"/>
      <c r="M1440"/>
    </row>
    <row r="1441" spans="3:13" ht="12.75" customHeight="1" x14ac:dyDescent="0.2">
      <c r="C1441"/>
      <c r="M1441"/>
    </row>
    <row r="1442" spans="3:13" ht="12.75" customHeight="1" x14ac:dyDescent="0.2">
      <c r="C1442"/>
      <c r="M1442"/>
    </row>
    <row r="1443" spans="3:13" ht="12.75" customHeight="1" x14ac:dyDescent="0.2">
      <c r="C1443"/>
      <c r="M1443"/>
    </row>
    <row r="1444" spans="3:13" ht="12.75" customHeight="1" x14ac:dyDescent="0.2">
      <c r="C1444"/>
      <c r="M1444"/>
    </row>
    <row r="1445" spans="3:13" ht="12.75" customHeight="1" x14ac:dyDescent="0.2">
      <c r="C1445"/>
      <c r="M1445"/>
    </row>
    <row r="1446" spans="3:13" ht="12.75" customHeight="1" x14ac:dyDescent="0.2">
      <c r="C1446"/>
      <c r="M1446"/>
    </row>
    <row r="1447" spans="3:13" ht="12.75" customHeight="1" x14ac:dyDescent="0.2">
      <c r="C1447"/>
      <c r="M1447"/>
    </row>
    <row r="1448" spans="3:13" ht="12.75" customHeight="1" x14ac:dyDescent="0.2">
      <c r="C1448"/>
      <c r="M1448"/>
    </row>
    <row r="1449" spans="3:13" ht="12.75" customHeight="1" x14ac:dyDescent="0.2">
      <c r="C1449"/>
      <c r="M1449"/>
    </row>
    <row r="1450" spans="3:13" ht="12.75" customHeight="1" x14ac:dyDescent="0.2">
      <c r="C1450"/>
      <c r="M1450"/>
    </row>
    <row r="1451" spans="3:13" ht="12.75" customHeight="1" x14ac:dyDescent="0.2">
      <c r="C1451"/>
      <c r="M1451"/>
    </row>
    <row r="1452" spans="3:13" ht="12.75" customHeight="1" x14ac:dyDescent="0.2">
      <c r="C1452"/>
      <c r="M1452"/>
    </row>
    <row r="1453" spans="3:13" ht="12.75" customHeight="1" x14ac:dyDescent="0.2">
      <c r="C1453"/>
      <c r="M1453"/>
    </row>
    <row r="1454" spans="3:13" ht="12.75" customHeight="1" x14ac:dyDescent="0.2">
      <c r="C1454"/>
      <c r="M1454"/>
    </row>
    <row r="1455" spans="3:13" ht="12.75" customHeight="1" x14ac:dyDescent="0.2">
      <c r="C1455"/>
      <c r="M1455"/>
    </row>
    <row r="1456" spans="3:13" ht="12.75" customHeight="1" x14ac:dyDescent="0.2">
      <c r="C1456"/>
      <c r="M1456"/>
    </row>
    <row r="1457" spans="3:13" ht="12.75" customHeight="1" x14ac:dyDescent="0.2">
      <c r="C1457"/>
      <c r="M1457"/>
    </row>
    <row r="1458" spans="3:13" ht="12.75" customHeight="1" x14ac:dyDescent="0.2">
      <c r="C1458"/>
      <c r="M1458"/>
    </row>
    <row r="1459" spans="3:13" ht="12.75" customHeight="1" x14ac:dyDescent="0.2">
      <c r="C1459"/>
      <c r="M1459"/>
    </row>
    <row r="1460" spans="3:13" ht="12.75" customHeight="1" x14ac:dyDescent="0.2">
      <c r="C1460"/>
      <c r="M1460"/>
    </row>
    <row r="1461" spans="3:13" ht="12.75" customHeight="1" x14ac:dyDescent="0.2">
      <c r="C1461"/>
      <c r="M1461"/>
    </row>
    <row r="1462" spans="3:13" ht="12.75" customHeight="1" x14ac:dyDescent="0.2">
      <c r="C1462"/>
      <c r="M1462"/>
    </row>
    <row r="1463" spans="3:13" ht="12.75" customHeight="1" x14ac:dyDescent="0.2">
      <c r="C1463"/>
      <c r="M1463"/>
    </row>
    <row r="1464" spans="3:13" ht="12.75" customHeight="1" x14ac:dyDescent="0.2">
      <c r="C1464"/>
      <c r="M1464"/>
    </row>
    <row r="1465" spans="3:13" ht="12.75" customHeight="1" x14ac:dyDescent="0.2">
      <c r="C1465"/>
      <c r="M1465"/>
    </row>
    <row r="1466" spans="3:13" ht="12.75" customHeight="1" x14ac:dyDescent="0.2">
      <c r="C1466"/>
      <c r="M1466"/>
    </row>
    <row r="1467" spans="3:13" ht="12.75" customHeight="1" x14ac:dyDescent="0.2">
      <c r="C1467"/>
      <c r="M1467"/>
    </row>
    <row r="1468" spans="3:13" ht="12.75" customHeight="1" x14ac:dyDescent="0.2">
      <c r="C1468"/>
      <c r="M1468"/>
    </row>
    <row r="1469" spans="3:13" ht="12.75" customHeight="1" x14ac:dyDescent="0.2">
      <c r="C1469"/>
      <c r="M1469"/>
    </row>
    <row r="1470" spans="3:13" ht="12.75" customHeight="1" x14ac:dyDescent="0.2">
      <c r="C1470"/>
      <c r="M1470"/>
    </row>
    <row r="1471" spans="3:13" ht="12.75" customHeight="1" x14ac:dyDescent="0.2">
      <c r="C1471"/>
      <c r="M1471"/>
    </row>
    <row r="1472" spans="3:13" ht="12.75" customHeight="1" x14ac:dyDescent="0.2">
      <c r="C1472"/>
      <c r="M1472"/>
    </row>
    <row r="1473" spans="3:13" ht="12.75" customHeight="1" x14ac:dyDescent="0.2">
      <c r="C1473"/>
      <c r="M1473"/>
    </row>
    <row r="1474" spans="3:13" ht="12.75" customHeight="1" x14ac:dyDescent="0.2">
      <c r="C1474"/>
      <c r="M1474"/>
    </row>
    <row r="1475" spans="3:13" ht="12.75" customHeight="1" x14ac:dyDescent="0.2">
      <c r="C1475"/>
      <c r="M1475"/>
    </row>
    <row r="1476" spans="3:13" ht="12.75" customHeight="1" x14ac:dyDescent="0.2">
      <c r="C1476"/>
      <c r="M1476"/>
    </row>
    <row r="1477" spans="3:13" ht="12.75" customHeight="1" x14ac:dyDescent="0.2">
      <c r="C1477"/>
      <c r="M1477"/>
    </row>
    <row r="1478" spans="3:13" ht="12.75" customHeight="1" x14ac:dyDescent="0.2">
      <c r="C1478"/>
      <c r="M1478"/>
    </row>
    <row r="1479" spans="3:13" ht="12.75" customHeight="1" x14ac:dyDescent="0.2">
      <c r="C1479"/>
      <c r="M1479"/>
    </row>
    <row r="1480" spans="3:13" ht="12.75" customHeight="1" x14ac:dyDescent="0.2">
      <c r="C1480"/>
      <c r="M1480"/>
    </row>
    <row r="1481" spans="3:13" ht="12.75" customHeight="1" x14ac:dyDescent="0.2">
      <c r="C1481"/>
      <c r="M1481"/>
    </row>
    <row r="1482" spans="3:13" ht="12.75" customHeight="1" x14ac:dyDescent="0.2">
      <c r="C1482"/>
      <c r="M1482"/>
    </row>
    <row r="1483" spans="3:13" ht="12.75" customHeight="1" x14ac:dyDescent="0.2">
      <c r="C1483"/>
      <c r="M1483"/>
    </row>
    <row r="1484" spans="3:13" ht="12.75" customHeight="1" x14ac:dyDescent="0.2">
      <c r="C1484"/>
      <c r="M1484"/>
    </row>
    <row r="1485" spans="3:13" ht="12.75" customHeight="1" x14ac:dyDescent="0.2">
      <c r="C1485"/>
      <c r="M1485"/>
    </row>
    <row r="1486" spans="3:13" ht="12.75" customHeight="1" x14ac:dyDescent="0.2">
      <c r="C1486"/>
      <c r="M1486"/>
    </row>
    <row r="1487" spans="3:13" ht="12.75" customHeight="1" x14ac:dyDescent="0.2">
      <c r="C1487"/>
      <c r="M1487"/>
    </row>
    <row r="1488" spans="3:13" ht="12.75" customHeight="1" x14ac:dyDescent="0.2">
      <c r="C1488"/>
      <c r="M1488"/>
    </row>
    <row r="1489" spans="3:13" ht="12.75" customHeight="1" x14ac:dyDescent="0.2">
      <c r="C1489"/>
      <c r="M1489"/>
    </row>
    <row r="1490" spans="3:13" ht="12.75" customHeight="1" x14ac:dyDescent="0.2">
      <c r="C1490"/>
      <c r="M1490"/>
    </row>
    <row r="1491" spans="3:13" ht="12.75" customHeight="1" x14ac:dyDescent="0.2">
      <c r="C1491"/>
      <c r="M1491"/>
    </row>
    <row r="1492" spans="3:13" ht="12.75" customHeight="1" x14ac:dyDescent="0.2">
      <c r="C1492"/>
      <c r="M1492"/>
    </row>
    <row r="1493" spans="3:13" ht="12.75" customHeight="1" x14ac:dyDescent="0.2">
      <c r="C1493"/>
      <c r="M1493"/>
    </row>
    <row r="1494" spans="3:13" ht="12.75" customHeight="1" x14ac:dyDescent="0.2">
      <c r="C1494"/>
      <c r="M1494"/>
    </row>
    <row r="1495" spans="3:13" ht="12.75" customHeight="1" x14ac:dyDescent="0.2">
      <c r="C1495"/>
      <c r="M1495"/>
    </row>
    <row r="1496" spans="3:13" ht="12.75" customHeight="1" x14ac:dyDescent="0.2">
      <c r="C1496"/>
      <c r="M1496"/>
    </row>
    <row r="1497" spans="3:13" ht="12.75" customHeight="1" x14ac:dyDescent="0.2">
      <c r="C1497"/>
      <c r="M1497"/>
    </row>
    <row r="1498" spans="3:13" ht="12.75" customHeight="1" x14ac:dyDescent="0.2">
      <c r="C1498"/>
      <c r="M1498"/>
    </row>
    <row r="1499" spans="3:13" ht="12.75" customHeight="1" x14ac:dyDescent="0.2">
      <c r="C1499"/>
      <c r="M1499"/>
    </row>
    <row r="1500" spans="3:13" ht="12.75" customHeight="1" x14ac:dyDescent="0.2">
      <c r="C1500"/>
      <c r="M1500"/>
    </row>
    <row r="1501" spans="3:13" ht="12.75" customHeight="1" x14ac:dyDescent="0.2">
      <c r="C1501"/>
      <c r="M1501"/>
    </row>
    <row r="1502" spans="3:13" ht="12.75" customHeight="1" x14ac:dyDescent="0.2">
      <c r="C1502"/>
      <c r="M1502"/>
    </row>
    <row r="1503" spans="3:13" ht="12.75" customHeight="1" x14ac:dyDescent="0.2">
      <c r="C1503"/>
      <c r="M1503"/>
    </row>
    <row r="1504" spans="3:13" ht="12.75" customHeight="1" x14ac:dyDescent="0.2">
      <c r="C1504"/>
      <c r="M1504"/>
    </row>
    <row r="1505" spans="3:13" ht="12.75" customHeight="1" x14ac:dyDescent="0.2">
      <c r="C1505"/>
      <c r="M1505"/>
    </row>
    <row r="1506" spans="3:13" ht="12.75" customHeight="1" x14ac:dyDescent="0.2">
      <c r="C1506"/>
      <c r="M1506"/>
    </row>
    <row r="1507" spans="3:13" ht="12.75" customHeight="1" x14ac:dyDescent="0.2">
      <c r="C1507"/>
      <c r="M1507"/>
    </row>
    <row r="1508" spans="3:13" ht="12.75" customHeight="1" x14ac:dyDescent="0.2">
      <c r="C1508"/>
      <c r="M1508"/>
    </row>
    <row r="1509" spans="3:13" ht="12.75" customHeight="1" x14ac:dyDescent="0.2">
      <c r="C1509"/>
      <c r="M1509"/>
    </row>
    <row r="1510" spans="3:13" ht="12.75" customHeight="1" x14ac:dyDescent="0.2">
      <c r="C1510"/>
      <c r="M1510"/>
    </row>
    <row r="1511" spans="3:13" ht="12.75" customHeight="1" x14ac:dyDescent="0.2">
      <c r="C1511"/>
      <c r="M1511"/>
    </row>
    <row r="1512" spans="3:13" ht="12.75" customHeight="1" x14ac:dyDescent="0.2">
      <c r="C1512"/>
      <c r="M1512"/>
    </row>
    <row r="1513" spans="3:13" ht="12.75" customHeight="1" x14ac:dyDescent="0.2">
      <c r="C1513"/>
      <c r="M1513"/>
    </row>
    <row r="1514" spans="3:13" ht="12.75" customHeight="1" x14ac:dyDescent="0.2">
      <c r="C1514"/>
      <c r="M1514"/>
    </row>
    <row r="1515" spans="3:13" ht="12.75" customHeight="1" x14ac:dyDescent="0.2">
      <c r="C1515"/>
      <c r="M1515"/>
    </row>
    <row r="1516" spans="3:13" ht="12.75" customHeight="1" x14ac:dyDescent="0.2">
      <c r="C1516"/>
      <c r="M1516"/>
    </row>
    <row r="1517" spans="3:13" ht="12.75" customHeight="1" x14ac:dyDescent="0.2">
      <c r="C1517"/>
      <c r="M1517"/>
    </row>
    <row r="1518" spans="3:13" ht="12.75" customHeight="1" x14ac:dyDescent="0.2">
      <c r="C1518"/>
      <c r="M1518"/>
    </row>
    <row r="1519" spans="3:13" ht="12.75" customHeight="1" x14ac:dyDescent="0.2">
      <c r="C1519"/>
      <c r="M1519"/>
    </row>
    <row r="1520" spans="3:13" ht="12.75" customHeight="1" x14ac:dyDescent="0.2">
      <c r="C1520"/>
      <c r="M1520"/>
    </row>
    <row r="1521" spans="3:13" ht="12.75" customHeight="1" x14ac:dyDescent="0.2">
      <c r="C1521"/>
      <c r="M1521"/>
    </row>
    <row r="1522" spans="3:13" ht="12.75" customHeight="1" x14ac:dyDescent="0.2">
      <c r="C1522"/>
      <c r="M1522"/>
    </row>
    <row r="1523" spans="3:13" ht="12.75" customHeight="1" x14ac:dyDescent="0.2">
      <c r="C1523"/>
      <c r="M1523"/>
    </row>
    <row r="1524" spans="3:13" ht="12.75" customHeight="1" x14ac:dyDescent="0.2">
      <c r="C1524"/>
      <c r="M1524"/>
    </row>
    <row r="1525" spans="3:13" ht="12.75" customHeight="1" x14ac:dyDescent="0.2">
      <c r="C1525"/>
      <c r="M1525"/>
    </row>
    <row r="1526" spans="3:13" ht="12.75" customHeight="1" x14ac:dyDescent="0.2">
      <c r="C1526"/>
      <c r="M1526"/>
    </row>
    <row r="1527" spans="3:13" ht="12.75" customHeight="1" x14ac:dyDescent="0.2">
      <c r="C1527"/>
      <c r="M1527"/>
    </row>
    <row r="1528" spans="3:13" ht="12.75" customHeight="1" x14ac:dyDescent="0.2">
      <c r="C1528"/>
      <c r="M1528"/>
    </row>
    <row r="1529" spans="3:13" ht="12.75" customHeight="1" x14ac:dyDescent="0.2">
      <c r="C1529"/>
      <c r="M1529"/>
    </row>
    <row r="1530" spans="3:13" ht="12.75" customHeight="1" x14ac:dyDescent="0.2">
      <c r="C1530"/>
      <c r="M1530"/>
    </row>
    <row r="1531" spans="3:13" ht="12.75" customHeight="1" x14ac:dyDescent="0.2">
      <c r="C1531"/>
      <c r="M1531"/>
    </row>
    <row r="1532" spans="3:13" ht="12.75" customHeight="1" x14ac:dyDescent="0.2">
      <c r="C1532"/>
      <c r="M1532"/>
    </row>
    <row r="1533" spans="3:13" ht="12.75" customHeight="1" x14ac:dyDescent="0.2">
      <c r="C1533"/>
      <c r="M1533"/>
    </row>
    <row r="1534" spans="3:13" ht="12.75" customHeight="1" x14ac:dyDescent="0.2">
      <c r="C1534"/>
      <c r="M1534"/>
    </row>
    <row r="1535" spans="3:13" ht="12.75" customHeight="1" x14ac:dyDescent="0.2">
      <c r="C1535"/>
      <c r="M1535"/>
    </row>
    <row r="1536" spans="3:13" ht="12.75" customHeight="1" x14ac:dyDescent="0.2">
      <c r="C1536"/>
      <c r="M1536"/>
    </row>
    <row r="1537" spans="3:13" ht="12.75" customHeight="1" x14ac:dyDescent="0.2">
      <c r="C1537"/>
      <c r="M1537"/>
    </row>
    <row r="1538" spans="3:13" ht="12.75" customHeight="1" x14ac:dyDescent="0.2">
      <c r="C1538"/>
      <c r="M1538"/>
    </row>
    <row r="1539" spans="3:13" ht="12.75" customHeight="1" x14ac:dyDescent="0.2">
      <c r="C1539"/>
      <c r="M1539"/>
    </row>
    <row r="1540" spans="3:13" ht="12.75" customHeight="1" x14ac:dyDescent="0.2">
      <c r="C1540"/>
      <c r="M1540"/>
    </row>
    <row r="1541" spans="3:13" ht="12.75" customHeight="1" x14ac:dyDescent="0.2">
      <c r="C1541"/>
      <c r="M1541"/>
    </row>
    <row r="1542" spans="3:13" ht="12.75" customHeight="1" x14ac:dyDescent="0.2">
      <c r="C1542"/>
      <c r="M1542"/>
    </row>
    <row r="1543" spans="3:13" ht="12.75" customHeight="1" x14ac:dyDescent="0.2">
      <c r="C1543"/>
      <c r="M1543"/>
    </row>
    <row r="1544" spans="3:13" ht="12.75" customHeight="1" x14ac:dyDescent="0.2">
      <c r="C1544"/>
      <c r="M1544"/>
    </row>
    <row r="1545" spans="3:13" ht="12.75" customHeight="1" x14ac:dyDescent="0.2">
      <c r="C1545"/>
      <c r="M1545"/>
    </row>
    <row r="1546" spans="3:13" ht="12.75" customHeight="1" x14ac:dyDescent="0.2">
      <c r="C1546"/>
      <c r="M1546"/>
    </row>
    <row r="1547" spans="3:13" ht="12.75" customHeight="1" x14ac:dyDescent="0.2">
      <c r="C1547"/>
      <c r="M1547"/>
    </row>
    <row r="1548" spans="3:13" ht="12.75" customHeight="1" x14ac:dyDescent="0.2">
      <c r="C1548"/>
      <c r="M1548"/>
    </row>
    <row r="1549" spans="3:13" ht="12.75" customHeight="1" x14ac:dyDescent="0.2">
      <c r="C1549"/>
      <c r="M1549"/>
    </row>
    <row r="1550" spans="3:13" ht="12.75" customHeight="1" x14ac:dyDescent="0.2">
      <c r="C1550"/>
      <c r="M1550"/>
    </row>
    <row r="1551" spans="3:13" ht="12.75" customHeight="1" x14ac:dyDescent="0.2">
      <c r="C1551"/>
      <c r="M1551"/>
    </row>
    <row r="1552" spans="3:13" ht="12.75" customHeight="1" x14ac:dyDescent="0.2">
      <c r="C1552"/>
      <c r="M1552"/>
    </row>
    <row r="1553" spans="3:13" ht="12.75" customHeight="1" x14ac:dyDescent="0.2">
      <c r="C1553"/>
      <c r="M1553"/>
    </row>
    <row r="1554" spans="3:13" ht="12.75" customHeight="1" x14ac:dyDescent="0.2">
      <c r="C1554"/>
      <c r="M1554"/>
    </row>
    <row r="1555" spans="3:13" ht="12.75" customHeight="1" x14ac:dyDescent="0.2">
      <c r="C1555"/>
      <c r="M1555"/>
    </row>
    <row r="1556" spans="3:13" ht="12.75" customHeight="1" x14ac:dyDescent="0.2">
      <c r="C1556"/>
      <c r="M1556"/>
    </row>
    <row r="1557" spans="3:13" ht="12.75" customHeight="1" x14ac:dyDescent="0.2">
      <c r="C1557"/>
      <c r="M1557"/>
    </row>
    <row r="1558" spans="3:13" ht="12.75" customHeight="1" x14ac:dyDescent="0.2">
      <c r="C1558"/>
      <c r="M1558"/>
    </row>
    <row r="1559" spans="3:13" ht="12.75" customHeight="1" x14ac:dyDescent="0.2">
      <c r="C1559"/>
      <c r="M1559"/>
    </row>
    <row r="1560" spans="3:13" ht="12.75" customHeight="1" x14ac:dyDescent="0.2">
      <c r="C1560"/>
      <c r="M1560"/>
    </row>
    <row r="1561" spans="3:13" ht="12.75" customHeight="1" x14ac:dyDescent="0.2">
      <c r="C1561"/>
      <c r="M1561"/>
    </row>
    <row r="1562" spans="3:13" ht="12.75" customHeight="1" x14ac:dyDescent="0.2">
      <c r="C1562"/>
      <c r="M1562"/>
    </row>
    <row r="1563" spans="3:13" ht="12.75" customHeight="1" x14ac:dyDescent="0.2">
      <c r="C1563"/>
      <c r="M1563"/>
    </row>
    <row r="1564" spans="3:13" ht="12.75" customHeight="1" x14ac:dyDescent="0.2">
      <c r="C1564"/>
      <c r="M1564"/>
    </row>
    <row r="1565" spans="3:13" ht="12.75" customHeight="1" x14ac:dyDescent="0.2">
      <c r="C1565"/>
      <c r="M1565"/>
    </row>
    <row r="1566" spans="3:13" ht="12.75" customHeight="1" x14ac:dyDescent="0.2">
      <c r="C1566"/>
      <c r="M1566"/>
    </row>
    <row r="1567" spans="3:13" ht="12.75" customHeight="1" x14ac:dyDescent="0.2">
      <c r="C1567"/>
      <c r="M1567"/>
    </row>
    <row r="1568" spans="3:13" ht="12.75" customHeight="1" x14ac:dyDescent="0.2">
      <c r="C1568"/>
      <c r="M1568"/>
    </row>
    <row r="1569" spans="3:13" ht="12.75" customHeight="1" x14ac:dyDescent="0.2">
      <c r="C1569"/>
      <c r="M1569"/>
    </row>
    <row r="1570" spans="3:13" ht="12.75" customHeight="1" x14ac:dyDescent="0.2">
      <c r="C1570"/>
      <c r="M1570"/>
    </row>
    <row r="1571" spans="3:13" ht="12.75" customHeight="1" x14ac:dyDescent="0.2">
      <c r="C1571"/>
      <c r="M1571"/>
    </row>
    <row r="1572" spans="3:13" ht="12.75" customHeight="1" x14ac:dyDescent="0.2">
      <c r="C1572"/>
      <c r="M1572"/>
    </row>
    <row r="1573" spans="3:13" ht="12.75" customHeight="1" x14ac:dyDescent="0.2">
      <c r="C1573"/>
      <c r="M1573"/>
    </row>
    <row r="1574" spans="3:13" ht="12.75" customHeight="1" x14ac:dyDescent="0.2">
      <c r="C1574"/>
      <c r="M1574"/>
    </row>
    <row r="1575" spans="3:13" ht="12.75" customHeight="1" x14ac:dyDescent="0.2">
      <c r="C1575"/>
      <c r="M1575"/>
    </row>
    <row r="1576" spans="3:13" ht="12.75" customHeight="1" x14ac:dyDescent="0.2">
      <c r="C1576"/>
      <c r="M1576"/>
    </row>
    <row r="1577" spans="3:13" ht="12.75" customHeight="1" x14ac:dyDescent="0.2">
      <c r="C1577"/>
      <c r="M1577"/>
    </row>
    <row r="1578" spans="3:13" ht="12.75" customHeight="1" x14ac:dyDescent="0.2">
      <c r="C1578"/>
      <c r="M1578"/>
    </row>
    <row r="1579" spans="3:13" ht="12.75" customHeight="1" x14ac:dyDescent="0.2">
      <c r="C1579"/>
      <c r="M1579"/>
    </row>
    <row r="1580" spans="3:13" ht="12.75" customHeight="1" x14ac:dyDescent="0.2">
      <c r="C1580"/>
      <c r="M1580"/>
    </row>
    <row r="1581" spans="3:13" ht="12.75" customHeight="1" x14ac:dyDescent="0.2">
      <c r="C1581"/>
      <c r="M1581"/>
    </row>
    <row r="1582" spans="3:13" ht="12.75" customHeight="1" x14ac:dyDescent="0.2">
      <c r="C1582"/>
      <c r="M1582"/>
    </row>
    <row r="1583" spans="3:13" ht="12.75" customHeight="1" x14ac:dyDescent="0.2">
      <c r="C1583"/>
      <c r="M1583"/>
    </row>
    <row r="1584" spans="3:13" ht="12.75" customHeight="1" x14ac:dyDescent="0.2">
      <c r="C1584"/>
      <c r="M1584"/>
    </row>
    <row r="1585" spans="3:13" ht="12.75" customHeight="1" x14ac:dyDescent="0.2">
      <c r="C1585"/>
      <c r="M1585"/>
    </row>
    <row r="1586" spans="3:13" ht="12.75" customHeight="1" x14ac:dyDescent="0.2">
      <c r="C1586"/>
      <c r="M1586"/>
    </row>
    <row r="1587" spans="3:13" ht="12.75" customHeight="1" x14ac:dyDescent="0.2">
      <c r="C1587"/>
      <c r="M1587"/>
    </row>
    <row r="1588" spans="3:13" ht="12.75" customHeight="1" x14ac:dyDescent="0.2">
      <c r="C1588"/>
      <c r="M1588"/>
    </row>
    <row r="1589" spans="3:13" ht="12.75" customHeight="1" x14ac:dyDescent="0.2">
      <c r="C1589"/>
      <c r="M1589"/>
    </row>
    <row r="1590" spans="3:13" ht="12.75" customHeight="1" x14ac:dyDescent="0.2">
      <c r="C1590"/>
      <c r="M1590"/>
    </row>
    <row r="1591" spans="3:13" ht="12.75" customHeight="1" x14ac:dyDescent="0.2">
      <c r="C1591"/>
      <c r="M1591"/>
    </row>
    <row r="1592" spans="3:13" ht="12.75" customHeight="1" x14ac:dyDescent="0.2">
      <c r="C1592"/>
      <c r="M1592"/>
    </row>
    <row r="1593" spans="3:13" ht="12.75" customHeight="1" x14ac:dyDescent="0.2">
      <c r="C1593"/>
      <c r="M1593"/>
    </row>
    <row r="1594" spans="3:13" ht="12.75" customHeight="1" x14ac:dyDescent="0.2">
      <c r="C1594"/>
      <c r="M1594"/>
    </row>
    <row r="1595" spans="3:13" ht="12.75" customHeight="1" x14ac:dyDescent="0.2">
      <c r="C1595"/>
      <c r="M1595"/>
    </row>
    <row r="1596" spans="3:13" ht="12.75" customHeight="1" x14ac:dyDescent="0.2">
      <c r="C1596"/>
      <c r="M1596"/>
    </row>
    <row r="1597" spans="3:13" ht="12.75" customHeight="1" x14ac:dyDescent="0.2">
      <c r="C1597"/>
      <c r="M1597"/>
    </row>
    <row r="1598" spans="3:13" ht="12.75" customHeight="1" x14ac:dyDescent="0.2">
      <c r="C1598"/>
      <c r="M1598"/>
    </row>
    <row r="1599" spans="3:13" ht="12.75" customHeight="1" x14ac:dyDescent="0.2">
      <c r="C1599"/>
      <c r="M1599"/>
    </row>
    <row r="1600" spans="3:13" ht="12.75" customHeight="1" x14ac:dyDescent="0.2">
      <c r="C1600"/>
      <c r="M1600"/>
    </row>
    <row r="1601" spans="3:13" ht="12.75" customHeight="1" x14ac:dyDescent="0.2">
      <c r="C1601"/>
      <c r="M1601"/>
    </row>
    <row r="1602" spans="3:13" ht="12.75" customHeight="1" x14ac:dyDescent="0.2">
      <c r="C1602"/>
      <c r="M1602"/>
    </row>
    <row r="1603" spans="3:13" ht="12.75" customHeight="1" x14ac:dyDescent="0.2">
      <c r="C1603"/>
      <c r="M1603"/>
    </row>
    <row r="1604" spans="3:13" ht="12.75" customHeight="1" x14ac:dyDescent="0.2">
      <c r="C1604"/>
      <c r="M1604"/>
    </row>
    <row r="1605" spans="3:13" ht="12.75" customHeight="1" x14ac:dyDescent="0.2">
      <c r="C1605"/>
      <c r="M1605"/>
    </row>
    <row r="1606" spans="3:13" ht="12.75" customHeight="1" x14ac:dyDescent="0.2">
      <c r="C1606"/>
      <c r="M1606"/>
    </row>
    <row r="1607" spans="3:13" ht="12.75" customHeight="1" x14ac:dyDescent="0.2">
      <c r="C1607"/>
      <c r="M1607"/>
    </row>
    <row r="1608" spans="3:13" ht="12.75" customHeight="1" x14ac:dyDescent="0.2">
      <c r="C1608"/>
      <c r="M1608"/>
    </row>
    <row r="1609" spans="3:13" ht="12.75" customHeight="1" x14ac:dyDescent="0.2">
      <c r="C1609"/>
      <c r="M1609"/>
    </row>
    <row r="1610" spans="3:13" ht="12.75" customHeight="1" x14ac:dyDescent="0.2">
      <c r="C1610"/>
      <c r="M1610"/>
    </row>
    <row r="1611" spans="3:13" ht="12.75" customHeight="1" x14ac:dyDescent="0.2">
      <c r="C1611"/>
      <c r="M1611"/>
    </row>
    <row r="1612" spans="3:13" ht="12.75" customHeight="1" x14ac:dyDescent="0.2">
      <c r="C1612"/>
      <c r="M1612"/>
    </row>
    <row r="1613" spans="3:13" ht="12.75" customHeight="1" x14ac:dyDescent="0.2">
      <c r="C1613"/>
      <c r="M1613"/>
    </row>
    <row r="1614" spans="3:13" ht="12.75" customHeight="1" x14ac:dyDescent="0.2">
      <c r="C1614"/>
      <c r="M1614"/>
    </row>
    <row r="1615" spans="3:13" ht="12.75" customHeight="1" x14ac:dyDescent="0.2">
      <c r="C1615"/>
      <c r="M1615"/>
    </row>
    <row r="1616" spans="3:13" ht="12.75" customHeight="1" x14ac:dyDescent="0.2">
      <c r="C1616"/>
      <c r="M1616"/>
    </row>
    <row r="1617" spans="3:13" ht="12.75" customHeight="1" x14ac:dyDescent="0.2">
      <c r="C1617"/>
      <c r="M1617"/>
    </row>
    <row r="1618" spans="3:13" ht="12.75" customHeight="1" x14ac:dyDescent="0.2">
      <c r="C1618"/>
      <c r="M1618"/>
    </row>
    <row r="1619" spans="3:13" ht="12.75" customHeight="1" x14ac:dyDescent="0.2">
      <c r="C1619"/>
      <c r="M1619"/>
    </row>
    <row r="1620" spans="3:13" ht="12.75" customHeight="1" x14ac:dyDescent="0.2">
      <c r="C1620"/>
      <c r="M1620"/>
    </row>
    <row r="1621" spans="3:13" ht="12.75" customHeight="1" x14ac:dyDescent="0.2">
      <c r="C1621"/>
      <c r="M1621"/>
    </row>
    <row r="1622" spans="3:13" ht="12.75" customHeight="1" x14ac:dyDescent="0.2">
      <c r="C1622"/>
      <c r="M1622"/>
    </row>
    <row r="1623" spans="3:13" ht="12.75" customHeight="1" x14ac:dyDescent="0.2">
      <c r="C1623"/>
      <c r="M1623"/>
    </row>
    <row r="1624" spans="3:13" ht="12.75" customHeight="1" x14ac:dyDescent="0.2">
      <c r="C1624"/>
      <c r="M1624"/>
    </row>
    <row r="1625" spans="3:13" ht="12.75" customHeight="1" x14ac:dyDescent="0.2">
      <c r="C1625"/>
      <c r="M1625"/>
    </row>
    <row r="1626" spans="3:13" ht="12.75" customHeight="1" x14ac:dyDescent="0.2">
      <c r="C1626"/>
      <c r="M1626"/>
    </row>
    <row r="1627" spans="3:13" ht="12.75" customHeight="1" x14ac:dyDescent="0.2">
      <c r="C1627"/>
      <c r="M1627"/>
    </row>
    <row r="1628" spans="3:13" ht="12.75" customHeight="1" x14ac:dyDescent="0.2">
      <c r="C1628"/>
      <c r="M1628"/>
    </row>
    <row r="1629" spans="3:13" ht="12.75" customHeight="1" x14ac:dyDescent="0.2">
      <c r="C1629"/>
      <c r="M1629"/>
    </row>
    <row r="1630" spans="3:13" ht="12.75" customHeight="1" x14ac:dyDescent="0.2">
      <c r="C1630"/>
      <c r="M1630"/>
    </row>
    <row r="1631" spans="3:13" ht="12.75" customHeight="1" x14ac:dyDescent="0.2">
      <c r="C1631"/>
      <c r="M1631"/>
    </row>
    <row r="1632" spans="3:13" ht="12.75" customHeight="1" x14ac:dyDescent="0.2">
      <c r="C1632"/>
      <c r="M1632"/>
    </row>
    <row r="1633" spans="3:13" ht="12.75" customHeight="1" x14ac:dyDescent="0.2">
      <c r="C1633"/>
      <c r="M1633"/>
    </row>
    <row r="1634" spans="3:13" ht="12.75" customHeight="1" x14ac:dyDescent="0.2">
      <c r="C1634"/>
      <c r="M1634"/>
    </row>
    <row r="1635" spans="3:13" ht="12.75" customHeight="1" x14ac:dyDescent="0.2">
      <c r="C1635"/>
      <c r="M1635"/>
    </row>
    <row r="1636" spans="3:13" ht="12.75" customHeight="1" x14ac:dyDescent="0.2">
      <c r="C1636"/>
      <c r="M1636"/>
    </row>
    <row r="1637" spans="3:13" ht="12.75" customHeight="1" x14ac:dyDescent="0.2">
      <c r="C1637"/>
      <c r="M1637"/>
    </row>
    <row r="1638" spans="3:13" ht="12.75" customHeight="1" x14ac:dyDescent="0.2">
      <c r="C1638"/>
      <c r="M1638"/>
    </row>
    <row r="1639" spans="3:13" ht="12.75" customHeight="1" x14ac:dyDescent="0.2">
      <c r="C1639"/>
      <c r="M1639"/>
    </row>
    <row r="1640" spans="3:13" ht="12.75" customHeight="1" x14ac:dyDescent="0.2">
      <c r="C1640"/>
      <c r="M1640"/>
    </row>
    <row r="1641" spans="3:13" ht="12.75" customHeight="1" x14ac:dyDescent="0.2">
      <c r="C1641"/>
      <c r="M1641"/>
    </row>
    <row r="1642" spans="3:13" ht="12.75" customHeight="1" x14ac:dyDescent="0.2">
      <c r="C1642"/>
      <c r="M1642"/>
    </row>
    <row r="1643" spans="3:13" ht="12.75" customHeight="1" x14ac:dyDescent="0.2">
      <c r="C1643"/>
      <c r="M1643"/>
    </row>
    <row r="1644" spans="3:13" ht="12.75" customHeight="1" x14ac:dyDescent="0.2">
      <c r="C1644"/>
      <c r="M1644"/>
    </row>
    <row r="1645" spans="3:13" ht="12.75" customHeight="1" x14ac:dyDescent="0.2">
      <c r="C1645"/>
      <c r="M1645"/>
    </row>
    <row r="1646" spans="3:13" ht="12.75" customHeight="1" x14ac:dyDescent="0.2">
      <c r="C1646"/>
      <c r="M1646"/>
    </row>
    <row r="1647" spans="3:13" ht="12.75" customHeight="1" x14ac:dyDescent="0.2">
      <c r="C1647"/>
      <c r="M1647"/>
    </row>
    <row r="1648" spans="3:13" ht="12.75" customHeight="1" x14ac:dyDescent="0.2">
      <c r="C1648"/>
      <c r="M1648"/>
    </row>
    <row r="1649" spans="3:13" ht="12.75" customHeight="1" x14ac:dyDescent="0.2">
      <c r="C1649"/>
      <c r="M1649"/>
    </row>
    <row r="1650" spans="3:13" ht="12.75" customHeight="1" x14ac:dyDescent="0.2">
      <c r="C1650"/>
      <c r="M1650"/>
    </row>
    <row r="1651" spans="3:13" ht="12.75" customHeight="1" x14ac:dyDescent="0.2">
      <c r="C1651"/>
      <c r="M1651"/>
    </row>
    <row r="1652" spans="3:13" ht="12.75" customHeight="1" x14ac:dyDescent="0.2">
      <c r="C1652"/>
      <c r="M1652"/>
    </row>
    <row r="1653" spans="3:13" ht="12.75" customHeight="1" x14ac:dyDescent="0.2">
      <c r="C1653"/>
      <c r="M1653"/>
    </row>
    <row r="1654" spans="3:13" ht="12.75" customHeight="1" x14ac:dyDescent="0.2">
      <c r="C1654"/>
      <c r="M1654"/>
    </row>
    <row r="1655" spans="3:13" ht="12.75" customHeight="1" x14ac:dyDescent="0.2">
      <c r="C1655"/>
      <c r="M1655"/>
    </row>
    <row r="1656" spans="3:13" ht="12.75" customHeight="1" x14ac:dyDescent="0.2">
      <c r="C1656"/>
      <c r="M1656"/>
    </row>
    <row r="1657" spans="3:13" ht="12.75" customHeight="1" x14ac:dyDescent="0.2">
      <c r="C1657"/>
      <c r="M1657"/>
    </row>
    <row r="1658" spans="3:13" ht="12.75" customHeight="1" x14ac:dyDescent="0.2">
      <c r="C1658"/>
      <c r="M1658"/>
    </row>
    <row r="1659" spans="3:13" ht="12.75" customHeight="1" x14ac:dyDescent="0.2">
      <c r="C1659"/>
      <c r="M1659"/>
    </row>
    <row r="1660" spans="3:13" ht="12.75" customHeight="1" x14ac:dyDescent="0.2">
      <c r="C1660"/>
      <c r="M1660"/>
    </row>
    <row r="1661" spans="3:13" ht="12.75" customHeight="1" x14ac:dyDescent="0.2">
      <c r="C1661"/>
      <c r="M1661"/>
    </row>
    <row r="1662" spans="3:13" ht="12.75" customHeight="1" x14ac:dyDescent="0.2">
      <c r="C1662"/>
      <c r="M1662"/>
    </row>
    <row r="1663" spans="3:13" ht="12.75" customHeight="1" x14ac:dyDescent="0.2">
      <c r="C1663"/>
      <c r="M1663"/>
    </row>
    <row r="1664" spans="3:13" ht="12.75" customHeight="1" x14ac:dyDescent="0.2">
      <c r="C1664"/>
      <c r="M1664"/>
    </row>
    <row r="1665" spans="3:13" ht="12.75" customHeight="1" x14ac:dyDescent="0.2">
      <c r="C1665"/>
      <c r="M1665"/>
    </row>
    <row r="1666" spans="3:13" ht="12.75" customHeight="1" x14ac:dyDescent="0.2">
      <c r="C1666"/>
      <c r="M1666"/>
    </row>
    <row r="1667" spans="3:13" ht="12.75" customHeight="1" x14ac:dyDescent="0.2">
      <c r="C1667"/>
      <c r="M1667"/>
    </row>
    <row r="1668" spans="3:13" ht="12.75" customHeight="1" x14ac:dyDescent="0.2">
      <c r="C1668"/>
      <c r="M1668"/>
    </row>
    <row r="1669" spans="3:13" ht="12.75" customHeight="1" x14ac:dyDescent="0.2">
      <c r="C1669"/>
      <c r="M1669"/>
    </row>
    <row r="1670" spans="3:13" ht="12.75" customHeight="1" x14ac:dyDescent="0.2">
      <c r="C1670"/>
      <c r="M1670"/>
    </row>
    <row r="1671" spans="3:13" ht="12.75" customHeight="1" x14ac:dyDescent="0.2">
      <c r="C1671"/>
      <c r="M1671"/>
    </row>
    <row r="1672" spans="3:13" ht="12.75" customHeight="1" x14ac:dyDescent="0.2">
      <c r="C1672"/>
      <c r="M1672"/>
    </row>
    <row r="1673" spans="3:13" ht="12.75" customHeight="1" x14ac:dyDescent="0.2">
      <c r="C1673"/>
      <c r="M1673"/>
    </row>
    <row r="1674" spans="3:13" ht="12.75" customHeight="1" x14ac:dyDescent="0.2">
      <c r="C1674"/>
      <c r="M1674"/>
    </row>
    <row r="1675" spans="3:13" ht="12.75" customHeight="1" x14ac:dyDescent="0.2">
      <c r="C1675"/>
      <c r="M1675"/>
    </row>
    <row r="1676" spans="3:13" ht="12.75" customHeight="1" x14ac:dyDescent="0.2">
      <c r="C1676"/>
      <c r="M1676"/>
    </row>
    <row r="1677" spans="3:13" ht="12.75" customHeight="1" x14ac:dyDescent="0.2">
      <c r="C1677"/>
      <c r="M1677"/>
    </row>
    <row r="1678" spans="3:13" ht="12.75" customHeight="1" x14ac:dyDescent="0.2">
      <c r="C1678"/>
      <c r="M1678"/>
    </row>
    <row r="1679" spans="3:13" ht="12.75" customHeight="1" x14ac:dyDescent="0.2">
      <c r="C1679"/>
      <c r="M1679"/>
    </row>
    <row r="1680" spans="3:13" ht="12.75" customHeight="1" x14ac:dyDescent="0.2">
      <c r="C1680"/>
      <c r="M1680"/>
    </row>
    <row r="1681" spans="3:13" ht="12.75" customHeight="1" x14ac:dyDescent="0.2">
      <c r="C1681"/>
      <c r="M1681"/>
    </row>
    <row r="1682" spans="3:13" ht="12.75" customHeight="1" x14ac:dyDescent="0.2">
      <c r="C1682"/>
      <c r="M1682"/>
    </row>
    <row r="1683" spans="3:13" ht="12.75" customHeight="1" x14ac:dyDescent="0.2">
      <c r="C1683"/>
      <c r="M1683"/>
    </row>
    <row r="1684" spans="3:13" ht="12.75" customHeight="1" x14ac:dyDescent="0.2">
      <c r="C1684"/>
      <c r="M1684"/>
    </row>
    <row r="1685" spans="3:13" ht="12.75" customHeight="1" x14ac:dyDescent="0.2">
      <c r="C1685"/>
      <c r="M1685"/>
    </row>
    <row r="1686" spans="3:13" ht="12.75" customHeight="1" x14ac:dyDescent="0.2">
      <c r="C1686"/>
      <c r="M1686"/>
    </row>
    <row r="1687" spans="3:13" ht="12.75" customHeight="1" x14ac:dyDescent="0.2">
      <c r="C1687"/>
      <c r="M1687"/>
    </row>
    <row r="1688" spans="3:13" ht="12.75" customHeight="1" x14ac:dyDescent="0.2">
      <c r="C1688"/>
      <c r="M1688"/>
    </row>
    <row r="1689" spans="3:13" ht="12.75" customHeight="1" x14ac:dyDescent="0.2">
      <c r="C1689"/>
      <c r="M1689"/>
    </row>
    <row r="1690" spans="3:13" ht="12.75" customHeight="1" x14ac:dyDescent="0.2">
      <c r="C1690"/>
      <c r="M1690"/>
    </row>
    <row r="1691" spans="3:13" ht="12.75" customHeight="1" x14ac:dyDescent="0.2">
      <c r="C1691"/>
      <c r="M1691"/>
    </row>
    <row r="1692" spans="3:13" ht="12.75" customHeight="1" x14ac:dyDescent="0.2">
      <c r="C1692"/>
      <c r="M1692"/>
    </row>
    <row r="1693" spans="3:13" ht="12.75" customHeight="1" x14ac:dyDescent="0.2">
      <c r="C1693"/>
      <c r="M1693"/>
    </row>
    <row r="1694" spans="3:13" ht="12.75" customHeight="1" x14ac:dyDescent="0.2">
      <c r="C1694"/>
      <c r="M1694"/>
    </row>
    <row r="1695" spans="3:13" ht="12.75" customHeight="1" x14ac:dyDescent="0.2">
      <c r="C1695"/>
      <c r="M1695"/>
    </row>
    <row r="1696" spans="3:13" ht="12.75" customHeight="1" x14ac:dyDescent="0.2">
      <c r="C1696"/>
      <c r="M1696"/>
    </row>
    <row r="1697" spans="3:13" ht="12.75" customHeight="1" x14ac:dyDescent="0.2">
      <c r="C1697"/>
      <c r="M1697"/>
    </row>
    <row r="1698" spans="3:13" ht="12.75" customHeight="1" x14ac:dyDescent="0.2">
      <c r="C1698"/>
      <c r="M1698"/>
    </row>
    <row r="1699" spans="3:13" ht="12.75" customHeight="1" x14ac:dyDescent="0.2">
      <c r="C1699"/>
      <c r="M1699"/>
    </row>
    <row r="1700" spans="3:13" ht="12.75" customHeight="1" x14ac:dyDescent="0.2">
      <c r="C1700"/>
      <c r="M1700"/>
    </row>
    <row r="1701" spans="3:13" ht="12.75" customHeight="1" x14ac:dyDescent="0.2">
      <c r="C1701"/>
      <c r="M1701"/>
    </row>
    <row r="1702" spans="3:13" ht="12.75" customHeight="1" x14ac:dyDescent="0.2">
      <c r="C1702"/>
      <c r="M1702"/>
    </row>
    <row r="1703" spans="3:13" ht="12.75" customHeight="1" x14ac:dyDescent="0.2">
      <c r="C1703"/>
      <c r="M1703"/>
    </row>
    <row r="1704" spans="3:13" ht="12.75" customHeight="1" x14ac:dyDescent="0.2">
      <c r="C1704"/>
      <c r="M1704"/>
    </row>
    <row r="1705" spans="3:13" ht="12.75" customHeight="1" x14ac:dyDescent="0.2">
      <c r="C1705"/>
      <c r="M1705"/>
    </row>
    <row r="1706" spans="3:13" ht="12.75" customHeight="1" x14ac:dyDescent="0.2">
      <c r="C1706"/>
      <c r="M1706"/>
    </row>
    <row r="1707" spans="3:13" ht="12.75" customHeight="1" x14ac:dyDescent="0.2">
      <c r="C1707"/>
      <c r="M1707"/>
    </row>
    <row r="1708" spans="3:13" ht="12.75" customHeight="1" x14ac:dyDescent="0.2">
      <c r="C1708"/>
      <c r="M1708"/>
    </row>
    <row r="1709" spans="3:13" ht="12.75" customHeight="1" x14ac:dyDescent="0.2">
      <c r="C1709"/>
      <c r="M1709"/>
    </row>
    <row r="1710" spans="3:13" ht="12.75" customHeight="1" x14ac:dyDescent="0.2">
      <c r="C1710"/>
      <c r="M1710"/>
    </row>
    <row r="1711" spans="3:13" ht="12.75" customHeight="1" x14ac:dyDescent="0.2">
      <c r="C1711"/>
      <c r="M1711"/>
    </row>
    <row r="1712" spans="3:13" ht="12.75" customHeight="1" x14ac:dyDescent="0.2">
      <c r="C1712"/>
      <c r="M1712"/>
    </row>
    <row r="1713" spans="3:13" ht="12.75" customHeight="1" x14ac:dyDescent="0.2">
      <c r="C1713"/>
      <c r="M1713"/>
    </row>
    <row r="1714" spans="3:13" ht="12.75" customHeight="1" x14ac:dyDescent="0.2">
      <c r="C1714"/>
      <c r="M1714"/>
    </row>
    <row r="1715" spans="3:13" ht="12.75" customHeight="1" x14ac:dyDescent="0.2">
      <c r="C1715"/>
      <c r="M1715"/>
    </row>
    <row r="1716" spans="3:13" ht="12.75" customHeight="1" x14ac:dyDescent="0.2">
      <c r="C1716"/>
      <c r="M1716"/>
    </row>
    <row r="1717" spans="3:13" ht="12.75" customHeight="1" x14ac:dyDescent="0.2">
      <c r="C1717"/>
      <c r="M1717"/>
    </row>
    <row r="1718" spans="3:13" ht="12.75" customHeight="1" x14ac:dyDescent="0.2">
      <c r="C1718"/>
      <c r="M1718"/>
    </row>
    <row r="1719" spans="3:13" ht="12.75" customHeight="1" x14ac:dyDescent="0.2">
      <c r="C1719"/>
      <c r="M1719"/>
    </row>
    <row r="1720" spans="3:13" ht="12.75" customHeight="1" x14ac:dyDescent="0.2">
      <c r="C1720"/>
      <c r="M1720"/>
    </row>
    <row r="1721" spans="3:13" ht="12.75" customHeight="1" x14ac:dyDescent="0.2">
      <c r="C1721"/>
      <c r="M1721"/>
    </row>
    <row r="1722" spans="3:13" ht="12.75" customHeight="1" x14ac:dyDescent="0.2">
      <c r="C1722"/>
      <c r="M1722"/>
    </row>
    <row r="1723" spans="3:13" ht="12.75" customHeight="1" x14ac:dyDescent="0.2">
      <c r="C1723"/>
      <c r="M1723"/>
    </row>
    <row r="1724" spans="3:13" ht="12.75" customHeight="1" x14ac:dyDescent="0.2">
      <c r="C1724"/>
      <c r="M1724"/>
    </row>
    <row r="1725" spans="3:13" ht="12.75" customHeight="1" x14ac:dyDescent="0.2">
      <c r="C1725"/>
      <c r="M1725"/>
    </row>
    <row r="1726" spans="3:13" ht="12.75" customHeight="1" x14ac:dyDescent="0.2">
      <c r="C1726"/>
      <c r="M1726"/>
    </row>
    <row r="1727" spans="3:13" ht="12.75" customHeight="1" x14ac:dyDescent="0.2">
      <c r="C1727"/>
      <c r="M1727"/>
    </row>
    <row r="1728" spans="3:13" ht="12.75" customHeight="1" x14ac:dyDescent="0.2">
      <c r="C1728"/>
      <c r="M1728"/>
    </row>
    <row r="1729" spans="3:13" ht="12.75" customHeight="1" x14ac:dyDescent="0.2">
      <c r="C1729"/>
      <c r="M1729"/>
    </row>
    <row r="1730" spans="3:13" ht="12.75" customHeight="1" x14ac:dyDescent="0.2">
      <c r="C1730"/>
      <c r="M1730"/>
    </row>
    <row r="1731" spans="3:13" ht="12.75" customHeight="1" x14ac:dyDescent="0.2">
      <c r="C1731"/>
      <c r="M1731"/>
    </row>
    <row r="1732" spans="3:13" ht="12.75" customHeight="1" x14ac:dyDescent="0.2">
      <c r="C1732"/>
      <c r="M1732"/>
    </row>
    <row r="1733" spans="3:13" ht="12.75" customHeight="1" x14ac:dyDescent="0.2">
      <c r="C1733"/>
      <c r="M1733"/>
    </row>
    <row r="1734" spans="3:13" ht="12.75" customHeight="1" x14ac:dyDescent="0.2">
      <c r="C1734"/>
      <c r="M1734"/>
    </row>
    <row r="1735" spans="3:13" ht="12.75" customHeight="1" x14ac:dyDescent="0.2">
      <c r="C1735"/>
      <c r="M1735"/>
    </row>
    <row r="1736" spans="3:13" ht="12.75" customHeight="1" x14ac:dyDescent="0.2">
      <c r="C1736"/>
      <c r="M1736"/>
    </row>
    <row r="1737" spans="3:13" ht="12.75" customHeight="1" x14ac:dyDescent="0.2">
      <c r="C1737"/>
      <c r="M1737"/>
    </row>
    <row r="1738" spans="3:13" ht="12.75" customHeight="1" x14ac:dyDescent="0.2">
      <c r="C1738"/>
      <c r="M1738"/>
    </row>
    <row r="1739" spans="3:13" ht="12.75" customHeight="1" x14ac:dyDescent="0.2">
      <c r="C1739"/>
      <c r="M1739"/>
    </row>
    <row r="1740" spans="3:13" ht="12.75" customHeight="1" x14ac:dyDescent="0.2">
      <c r="C1740"/>
      <c r="M1740"/>
    </row>
    <row r="1741" spans="3:13" ht="12.75" customHeight="1" x14ac:dyDescent="0.2">
      <c r="C1741"/>
      <c r="M1741"/>
    </row>
    <row r="1742" spans="3:13" ht="12.75" customHeight="1" x14ac:dyDescent="0.2">
      <c r="C1742"/>
      <c r="M1742"/>
    </row>
    <row r="1743" spans="3:13" ht="12.75" customHeight="1" x14ac:dyDescent="0.2">
      <c r="C1743"/>
      <c r="M1743"/>
    </row>
    <row r="1744" spans="3:13" ht="12.75" customHeight="1" x14ac:dyDescent="0.2">
      <c r="C1744"/>
      <c r="M1744"/>
    </row>
    <row r="1745" spans="3:13" ht="12.75" customHeight="1" x14ac:dyDescent="0.2">
      <c r="C1745"/>
      <c r="M1745"/>
    </row>
    <row r="1746" spans="3:13" ht="12.75" customHeight="1" x14ac:dyDescent="0.2">
      <c r="C1746"/>
      <c r="M1746"/>
    </row>
    <row r="1747" spans="3:13" ht="12.75" customHeight="1" x14ac:dyDescent="0.2">
      <c r="C1747"/>
      <c r="M1747"/>
    </row>
    <row r="1748" spans="3:13" ht="12.75" customHeight="1" x14ac:dyDescent="0.2">
      <c r="C1748"/>
      <c r="M1748"/>
    </row>
    <row r="1749" spans="3:13" ht="12.75" customHeight="1" x14ac:dyDescent="0.2">
      <c r="C1749"/>
      <c r="M1749"/>
    </row>
    <row r="1750" spans="3:13" ht="12.75" customHeight="1" x14ac:dyDescent="0.2">
      <c r="C1750"/>
      <c r="M1750"/>
    </row>
    <row r="1751" spans="3:13" ht="12.75" customHeight="1" x14ac:dyDescent="0.2">
      <c r="C1751"/>
      <c r="M1751"/>
    </row>
    <row r="1752" spans="3:13" ht="12.75" customHeight="1" x14ac:dyDescent="0.2">
      <c r="C1752"/>
      <c r="M1752"/>
    </row>
    <row r="1753" spans="3:13" ht="12.75" customHeight="1" x14ac:dyDescent="0.2">
      <c r="C1753"/>
      <c r="M1753"/>
    </row>
    <row r="1754" spans="3:13" ht="12.75" customHeight="1" x14ac:dyDescent="0.2">
      <c r="C1754"/>
      <c r="M1754"/>
    </row>
    <row r="1755" spans="3:13" ht="12.75" customHeight="1" x14ac:dyDescent="0.2">
      <c r="C1755"/>
      <c r="M1755"/>
    </row>
    <row r="1756" spans="3:13" ht="12.75" customHeight="1" x14ac:dyDescent="0.2">
      <c r="C1756"/>
      <c r="M1756"/>
    </row>
    <row r="1757" spans="3:13" ht="12.75" customHeight="1" x14ac:dyDescent="0.2">
      <c r="C1757"/>
      <c r="M1757"/>
    </row>
    <row r="1758" spans="3:13" ht="12.75" customHeight="1" x14ac:dyDescent="0.2">
      <c r="C1758"/>
      <c r="M1758"/>
    </row>
    <row r="1759" spans="3:13" ht="12.75" customHeight="1" x14ac:dyDescent="0.2">
      <c r="C1759"/>
      <c r="M1759"/>
    </row>
    <row r="1760" spans="3:13" ht="12.75" customHeight="1" x14ac:dyDescent="0.2">
      <c r="C1760"/>
      <c r="M1760"/>
    </row>
    <row r="1761" spans="3:13" ht="12.75" customHeight="1" x14ac:dyDescent="0.2">
      <c r="C1761"/>
      <c r="M1761"/>
    </row>
    <row r="1762" spans="3:13" ht="12.75" customHeight="1" x14ac:dyDescent="0.2">
      <c r="C1762"/>
      <c r="M1762"/>
    </row>
    <row r="1763" spans="3:13" ht="12.75" customHeight="1" x14ac:dyDescent="0.2">
      <c r="C1763"/>
      <c r="M1763"/>
    </row>
    <row r="1764" spans="3:13" ht="12.75" customHeight="1" x14ac:dyDescent="0.2">
      <c r="C1764"/>
      <c r="M1764"/>
    </row>
    <row r="1765" spans="3:13" ht="12.75" customHeight="1" x14ac:dyDescent="0.2">
      <c r="C1765"/>
      <c r="M1765"/>
    </row>
    <row r="1766" spans="3:13" ht="12.75" customHeight="1" x14ac:dyDescent="0.2">
      <c r="C1766"/>
      <c r="M1766"/>
    </row>
    <row r="1767" spans="3:13" ht="12.75" customHeight="1" x14ac:dyDescent="0.2">
      <c r="C1767"/>
      <c r="M1767"/>
    </row>
    <row r="1768" spans="3:13" ht="12.75" customHeight="1" x14ac:dyDescent="0.2">
      <c r="C1768"/>
      <c r="M1768"/>
    </row>
    <row r="1769" spans="3:13" ht="12.75" customHeight="1" x14ac:dyDescent="0.2">
      <c r="C1769"/>
      <c r="M1769"/>
    </row>
    <row r="1770" spans="3:13" ht="12.75" customHeight="1" x14ac:dyDescent="0.2">
      <c r="C1770"/>
      <c r="M1770"/>
    </row>
    <row r="1771" spans="3:13" ht="12.75" customHeight="1" x14ac:dyDescent="0.2">
      <c r="C1771"/>
      <c r="M1771"/>
    </row>
    <row r="1772" spans="3:13" ht="12.75" customHeight="1" x14ac:dyDescent="0.2">
      <c r="C1772"/>
      <c r="M1772"/>
    </row>
    <row r="1773" spans="3:13" ht="12.75" customHeight="1" x14ac:dyDescent="0.2">
      <c r="C1773"/>
      <c r="M1773"/>
    </row>
    <row r="1774" spans="3:13" ht="12.75" customHeight="1" x14ac:dyDescent="0.2">
      <c r="C1774"/>
      <c r="M1774"/>
    </row>
    <row r="1775" spans="3:13" ht="12.75" customHeight="1" x14ac:dyDescent="0.2">
      <c r="C1775"/>
      <c r="M1775"/>
    </row>
    <row r="1776" spans="3:13" ht="12.75" customHeight="1" x14ac:dyDescent="0.2">
      <c r="C1776"/>
      <c r="M1776"/>
    </row>
    <row r="1777" spans="3:13" ht="12.75" customHeight="1" x14ac:dyDescent="0.2">
      <c r="C1777"/>
      <c r="M1777"/>
    </row>
    <row r="1778" spans="3:13" ht="12.75" customHeight="1" x14ac:dyDescent="0.2">
      <c r="C1778"/>
      <c r="M1778"/>
    </row>
    <row r="1779" spans="3:13" ht="12.75" customHeight="1" x14ac:dyDescent="0.2">
      <c r="C1779"/>
      <c r="M1779"/>
    </row>
    <row r="1780" spans="3:13" ht="12.75" customHeight="1" x14ac:dyDescent="0.2">
      <c r="C1780"/>
      <c r="M1780"/>
    </row>
    <row r="1781" spans="3:13" ht="12.75" customHeight="1" x14ac:dyDescent="0.2">
      <c r="C1781"/>
      <c r="M1781"/>
    </row>
    <row r="1782" spans="3:13" ht="12.75" customHeight="1" x14ac:dyDescent="0.2">
      <c r="C1782"/>
      <c r="M1782"/>
    </row>
    <row r="1783" spans="3:13" ht="12.75" customHeight="1" x14ac:dyDescent="0.2">
      <c r="C1783"/>
      <c r="M1783"/>
    </row>
    <row r="1784" spans="3:13" ht="12.75" customHeight="1" x14ac:dyDescent="0.2">
      <c r="C1784"/>
      <c r="M1784"/>
    </row>
    <row r="1785" spans="3:13" ht="12.75" customHeight="1" x14ac:dyDescent="0.2">
      <c r="C1785"/>
      <c r="M1785"/>
    </row>
    <row r="1786" spans="3:13" ht="12.75" customHeight="1" x14ac:dyDescent="0.2">
      <c r="C1786"/>
      <c r="M1786"/>
    </row>
    <row r="1787" spans="3:13" ht="12.75" customHeight="1" x14ac:dyDescent="0.2">
      <c r="C1787"/>
      <c r="M1787"/>
    </row>
    <row r="1788" spans="3:13" ht="12.75" customHeight="1" x14ac:dyDescent="0.2">
      <c r="C1788"/>
      <c r="M1788"/>
    </row>
    <row r="1789" spans="3:13" ht="12.75" customHeight="1" x14ac:dyDescent="0.2">
      <c r="C1789"/>
      <c r="M1789"/>
    </row>
    <row r="1790" spans="3:13" ht="12.75" customHeight="1" x14ac:dyDescent="0.2">
      <c r="C1790"/>
      <c r="M1790"/>
    </row>
    <row r="1791" spans="3:13" ht="12.75" customHeight="1" x14ac:dyDescent="0.2">
      <c r="C1791"/>
      <c r="M1791"/>
    </row>
    <row r="1792" spans="3:13" ht="12.75" customHeight="1" x14ac:dyDescent="0.2">
      <c r="C1792"/>
      <c r="M1792"/>
    </row>
    <row r="1793" spans="3:13" ht="12.75" customHeight="1" x14ac:dyDescent="0.2">
      <c r="C1793"/>
      <c r="M1793"/>
    </row>
    <row r="1794" spans="3:13" ht="12.75" customHeight="1" x14ac:dyDescent="0.2">
      <c r="C1794"/>
      <c r="M1794"/>
    </row>
    <row r="1795" spans="3:13" ht="12.75" customHeight="1" x14ac:dyDescent="0.2">
      <c r="C1795"/>
      <c r="M1795"/>
    </row>
    <row r="1796" spans="3:13" ht="12.75" customHeight="1" x14ac:dyDescent="0.2">
      <c r="C1796"/>
      <c r="M1796"/>
    </row>
    <row r="1797" spans="3:13" ht="12.75" customHeight="1" x14ac:dyDescent="0.2">
      <c r="C1797"/>
      <c r="M1797"/>
    </row>
    <row r="1798" spans="3:13" ht="12.75" customHeight="1" x14ac:dyDescent="0.2">
      <c r="C1798"/>
      <c r="M1798"/>
    </row>
    <row r="1799" spans="3:13" ht="12.75" customHeight="1" x14ac:dyDescent="0.2">
      <c r="C1799"/>
      <c r="M1799"/>
    </row>
    <row r="1800" spans="3:13" ht="12.75" customHeight="1" x14ac:dyDescent="0.2">
      <c r="C1800"/>
      <c r="M1800"/>
    </row>
    <row r="1801" spans="3:13" ht="12.75" customHeight="1" x14ac:dyDescent="0.2">
      <c r="C1801"/>
      <c r="M1801"/>
    </row>
    <row r="1802" spans="3:13" ht="12.75" customHeight="1" x14ac:dyDescent="0.2">
      <c r="C1802"/>
      <c r="M1802"/>
    </row>
    <row r="1803" spans="3:13" ht="12.75" customHeight="1" x14ac:dyDescent="0.2">
      <c r="C1803"/>
      <c r="M1803"/>
    </row>
    <row r="1804" spans="3:13" ht="12.75" customHeight="1" x14ac:dyDescent="0.2">
      <c r="C1804"/>
      <c r="M1804"/>
    </row>
    <row r="1805" spans="3:13" ht="12.75" customHeight="1" x14ac:dyDescent="0.2">
      <c r="C1805"/>
      <c r="M1805"/>
    </row>
    <row r="1806" spans="3:13" ht="12.75" customHeight="1" x14ac:dyDescent="0.2">
      <c r="C1806"/>
      <c r="M1806"/>
    </row>
    <row r="1807" spans="3:13" ht="12.75" customHeight="1" x14ac:dyDescent="0.2">
      <c r="C1807"/>
      <c r="M1807"/>
    </row>
    <row r="1808" spans="3:13" ht="12.75" customHeight="1" x14ac:dyDescent="0.2">
      <c r="C1808"/>
      <c r="M1808"/>
    </row>
    <row r="1809" spans="3:13" ht="12.75" customHeight="1" x14ac:dyDescent="0.2">
      <c r="C1809"/>
      <c r="M1809"/>
    </row>
    <row r="1810" spans="3:13" ht="12.75" customHeight="1" x14ac:dyDescent="0.2">
      <c r="C1810"/>
      <c r="M1810"/>
    </row>
    <row r="1811" spans="3:13" ht="12.75" customHeight="1" x14ac:dyDescent="0.2">
      <c r="C1811"/>
      <c r="M1811"/>
    </row>
    <row r="1812" spans="3:13" ht="12.75" customHeight="1" x14ac:dyDescent="0.2">
      <c r="C1812"/>
      <c r="M1812"/>
    </row>
    <row r="1813" spans="3:13" ht="12.75" customHeight="1" x14ac:dyDescent="0.2">
      <c r="C1813"/>
      <c r="M1813"/>
    </row>
    <row r="1814" spans="3:13" ht="12.75" customHeight="1" x14ac:dyDescent="0.2">
      <c r="C1814"/>
      <c r="M1814"/>
    </row>
    <row r="1815" spans="3:13" ht="12.75" customHeight="1" x14ac:dyDescent="0.2">
      <c r="C1815"/>
      <c r="M1815"/>
    </row>
    <row r="1816" spans="3:13" ht="12.75" customHeight="1" x14ac:dyDescent="0.2">
      <c r="C1816"/>
      <c r="M1816"/>
    </row>
    <row r="1817" spans="3:13" ht="12.75" customHeight="1" x14ac:dyDescent="0.2">
      <c r="C1817"/>
      <c r="M1817"/>
    </row>
    <row r="1818" spans="3:13" ht="12.75" customHeight="1" x14ac:dyDescent="0.2">
      <c r="C1818"/>
      <c r="M1818"/>
    </row>
    <row r="1819" spans="3:13" ht="12.75" customHeight="1" x14ac:dyDescent="0.2">
      <c r="C1819"/>
      <c r="M1819"/>
    </row>
    <row r="1820" spans="3:13" ht="12.75" customHeight="1" x14ac:dyDescent="0.2">
      <c r="C1820"/>
      <c r="M1820"/>
    </row>
    <row r="1821" spans="3:13" ht="12.75" customHeight="1" x14ac:dyDescent="0.2">
      <c r="C1821"/>
      <c r="M1821"/>
    </row>
    <row r="1822" spans="3:13" ht="12.75" customHeight="1" x14ac:dyDescent="0.2">
      <c r="C1822"/>
      <c r="M1822"/>
    </row>
    <row r="1823" spans="3:13" ht="12.75" customHeight="1" x14ac:dyDescent="0.2">
      <c r="C1823"/>
      <c r="M1823"/>
    </row>
    <row r="1824" spans="3:13" ht="12.75" customHeight="1" x14ac:dyDescent="0.2">
      <c r="C1824"/>
      <c r="M1824"/>
    </row>
    <row r="1825" spans="3:13" ht="12.75" customHeight="1" x14ac:dyDescent="0.2">
      <c r="C1825"/>
      <c r="M1825"/>
    </row>
    <row r="1826" spans="3:13" ht="12.75" customHeight="1" x14ac:dyDescent="0.2">
      <c r="C1826"/>
      <c r="M1826"/>
    </row>
    <row r="1827" spans="3:13" ht="12.75" customHeight="1" x14ac:dyDescent="0.2">
      <c r="C1827"/>
      <c r="M1827"/>
    </row>
    <row r="1828" spans="3:13" ht="12.75" customHeight="1" x14ac:dyDescent="0.2">
      <c r="C1828"/>
      <c r="M1828"/>
    </row>
    <row r="1829" spans="3:13" ht="12.75" customHeight="1" x14ac:dyDescent="0.2">
      <c r="C1829"/>
      <c r="M1829"/>
    </row>
    <row r="1830" spans="3:13" ht="12.75" customHeight="1" x14ac:dyDescent="0.2">
      <c r="C1830"/>
      <c r="M1830"/>
    </row>
    <row r="1831" spans="3:13" ht="12.75" customHeight="1" x14ac:dyDescent="0.2">
      <c r="C1831"/>
      <c r="M1831"/>
    </row>
    <row r="1832" spans="3:13" ht="12.75" customHeight="1" x14ac:dyDescent="0.2">
      <c r="C1832"/>
      <c r="M1832"/>
    </row>
    <row r="1833" spans="3:13" ht="12.75" customHeight="1" x14ac:dyDescent="0.2">
      <c r="C1833"/>
      <c r="M1833"/>
    </row>
    <row r="1834" spans="3:13" ht="12.75" customHeight="1" x14ac:dyDescent="0.2">
      <c r="C1834"/>
      <c r="M1834"/>
    </row>
    <row r="1835" spans="3:13" ht="12.75" customHeight="1" x14ac:dyDescent="0.2">
      <c r="C1835"/>
      <c r="M1835"/>
    </row>
    <row r="1836" spans="3:13" ht="12.75" customHeight="1" x14ac:dyDescent="0.2">
      <c r="C1836"/>
      <c r="M1836"/>
    </row>
    <row r="1837" spans="3:13" ht="12.75" customHeight="1" x14ac:dyDescent="0.2">
      <c r="C1837"/>
      <c r="M1837"/>
    </row>
    <row r="1838" spans="3:13" ht="12.75" customHeight="1" x14ac:dyDescent="0.2">
      <c r="C1838"/>
      <c r="M1838"/>
    </row>
    <row r="1839" spans="3:13" ht="12.75" customHeight="1" x14ac:dyDescent="0.2">
      <c r="C1839"/>
      <c r="M1839"/>
    </row>
    <row r="1840" spans="3:13" ht="12.75" customHeight="1" x14ac:dyDescent="0.2">
      <c r="C1840"/>
      <c r="M1840"/>
    </row>
    <row r="1841" spans="3:13" ht="12.75" customHeight="1" x14ac:dyDescent="0.2">
      <c r="C1841"/>
      <c r="M1841"/>
    </row>
    <row r="1842" spans="3:13" ht="12.75" customHeight="1" x14ac:dyDescent="0.2">
      <c r="C1842"/>
      <c r="M1842"/>
    </row>
    <row r="1843" spans="3:13" ht="12.75" customHeight="1" x14ac:dyDescent="0.2">
      <c r="C1843"/>
      <c r="M1843"/>
    </row>
    <row r="1844" spans="3:13" ht="12.75" customHeight="1" x14ac:dyDescent="0.2">
      <c r="C1844"/>
      <c r="M1844"/>
    </row>
    <row r="1845" spans="3:13" ht="12.75" customHeight="1" x14ac:dyDescent="0.2">
      <c r="C1845"/>
      <c r="M1845"/>
    </row>
    <row r="1846" spans="3:13" ht="12.75" customHeight="1" x14ac:dyDescent="0.2">
      <c r="C1846"/>
      <c r="M1846"/>
    </row>
    <row r="1847" spans="3:13" ht="12.75" customHeight="1" x14ac:dyDescent="0.2">
      <c r="C1847"/>
      <c r="M1847"/>
    </row>
    <row r="1848" spans="3:13" ht="12.75" customHeight="1" x14ac:dyDescent="0.2">
      <c r="C1848"/>
      <c r="M1848"/>
    </row>
    <row r="1849" spans="3:13" ht="12.75" customHeight="1" x14ac:dyDescent="0.2">
      <c r="C1849"/>
      <c r="M1849"/>
    </row>
    <row r="1850" spans="3:13" ht="12.75" customHeight="1" x14ac:dyDescent="0.2">
      <c r="C1850"/>
      <c r="M1850"/>
    </row>
    <row r="1851" spans="3:13" ht="12.75" customHeight="1" x14ac:dyDescent="0.2">
      <c r="C1851"/>
      <c r="M1851"/>
    </row>
    <row r="1852" spans="3:13" ht="12.75" customHeight="1" x14ac:dyDescent="0.2">
      <c r="C1852"/>
      <c r="M1852"/>
    </row>
    <row r="1853" spans="3:13" ht="12.75" customHeight="1" x14ac:dyDescent="0.2">
      <c r="C1853"/>
      <c r="M1853"/>
    </row>
    <row r="1854" spans="3:13" ht="12.75" customHeight="1" x14ac:dyDescent="0.2">
      <c r="C1854"/>
      <c r="M1854"/>
    </row>
    <row r="1855" spans="3:13" ht="12.75" customHeight="1" x14ac:dyDescent="0.2">
      <c r="C1855"/>
      <c r="M1855"/>
    </row>
    <row r="1856" spans="3:13" ht="12.75" customHeight="1" x14ac:dyDescent="0.2">
      <c r="C1856"/>
      <c r="M1856"/>
    </row>
    <row r="1857" spans="3:13" ht="12.75" customHeight="1" x14ac:dyDescent="0.2">
      <c r="C1857"/>
      <c r="M1857"/>
    </row>
    <row r="1858" spans="3:13" ht="12.75" customHeight="1" x14ac:dyDescent="0.2">
      <c r="C1858"/>
      <c r="M1858"/>
    </row>
    <row r="1859" spans="3:13" ht="12.75" customHeight="1" x14ac:dyDescent="0.2">
      <c r="C1859"/>
      <c r="M1859"/>
    </row>
    <row r="1860" spans="3:13" ht="12.75" customHeight="1" x14ac:dyDescent="0.2">
      <c r="C1860"/>
      <c r="M1860"/>
    </row>
    <row r="1861" spans="3:13" ht="12.75" customHeight="1" x14ac:dyDescent="0.2">
      <c r="C1861"/>
      <c r="M1861"/>
    </row>
    <row r="1862" spans="3:13" ht="12.75" customHeight="1" x14ac:dyDescent="0.2">
      <c r="C1862"/>
      <c r="M1862"/>
    </row>
    <row r="1863" spans="3:13" ht="12.75" customHeight="1" x14ac:dyDescent="0.2">
      <c r="C1863"/>
      <c r="M1863"/>
    </row>
    <row r="1864" spans="3:13" ht="12.75" customHeight="1" x14ac:dyDescent="0.2">
      <c r="C1864"/>
      <c r="M1864"/>
    </row>
    <row r="1865" spans="3:13" ht="12.75" customHeight="1" x14ac:dyDescent="0.2">
      <c r="C1865"/>
      <c r="M1865"/>
    </row>
    <row r="1866" spans="3:13" ht="12.75" customHeight="1" x14ac:dyDescent="0.2">
      <c r="C1866"/>
      <c r="M1866"/>
    </row>
    <row r="1867" spans="3:13" ht="12.75" customHeight="1" x14ac:dyDescent="0.2">
      <c r="C1867"/>
      <c r="M1867"/>
    </row>
    <row r="1868" spans="3:13" ht="12.75" customHeight="1" x14ac:dyDescent="0.2">
      <c r="C1868"/>
      <c r="M1868"/>
    </row>
    <row r="1869" spans="3:13" ht="12.75" customHeight="1" x14ac:dyDescent="0.2">
      <c r="C1869"/>
      <c r="M1869"/>
    </row>
    <row r="1870" spans="3:13" ht="12.75" customHeight="1" x14ac:dyDescent="0.2">
      <c r="C1870"/>
      <c r="M1870"/>
    </row>
    <row r="1871" spans="3:13" ht="12.75" customHeight="1" x14ac:dyDescent="0.2">
      <c r="C1871"/>
      <c r="M1871"/>
    </row>
    <row r="1872" spans="3:13" ht="12.75" customHeight="1" x14ac:dyDescent="0.2">
      <c r="C1872"/>
      <c r="M1872"/>
    </row>
    <row r="1873" spans="3:13" ht="12.75" customHeight="1" x14ac:dyDescent="0.2">
      <c r="C1873"/>
      <c r="M1873"/>
    </row>
    <row r="1874" spans="3:13" ht="12.75" customHeight="1" x14ac:dyDescent="0.2">
      <c r="C1874"/>
      <c r="M1874"/>
    </row>
    <row r="1875" spans="3:13" ht="12.75" customHeight="1" x14ac:dyDescent="0.2">
      <c r="C1875"/>
      <c r="M1875"/>
    </row>
    <row r="1876" spans="3:13" ht="12.75" customHeight="1" x14ac:dyDescent="0.2">
      <c r="C1876"/>
      <c r="M1876"/>
    </row>
    <row r="1877" spans="3:13" ht="12.75" customHeight="1" x14ac:dyDescent="0.2">
      <c r="C1877"/>
      <c r="M1877"/>
    </row>
    <row r="1878" spans="3:13" ht="12.75" customHeight="1" x14ac:dyDescent="0.2">
      <c r="C1878"/>
      <c r="M1878"/>
    </row>
    <row r="1879" spans="3:13" ht="12.75" customHeight="1" x14ac:dyDescent="0.2">
      <c r="C1879"/>
      <c r="M1879"/>
    </row>
    <row r="1880" spans="3:13" ht="12.75" customHeight="1" x14ac:dyDescent="0.2">
      <c r="C1880"/>
      <c r="M1880"/>
    </row>
    <row r="1881" spans="3:13" ht="12.75" customHeight="1" x14ac:dyDescent="0.2">
      <c r="C1881"/>
      <c r="M1881"/>
    </row>
    <row r="1882" spans="3:13" ht="12.75" customHeight="1" x14ac:dyDescent="0.2">
      <c r="C1882"/>
      <c r="M1882"/>
    </row>
    <row r="1883" spans="3:13" ht="12.75" customHeight="1" x14ac:dyDescent="0.2">
      <c r="C1883"/>
      <c r="M1883"/>
    </row>
    <row r="1884" spans="3:13" ht="12.75" customHeight="1" x14ac:dyDescent="0.2">
      <c r="C1884"/>
      <c r="M1884"/>
    </row>
    <row r="1885" spans="3:13" ht="12.75" customHeight="1" x14ac:dyDescent="0.2">
      <c r="C1885"/>
      <c r="M1885"/>
    </row>
    <row r="1886" spans="3:13" ht="12.75" customHeight="1" x14ac:dyDescent="0.2">
      <c r="C1886"/>
      <c r="M1886"/>
    </row>
    <row r="1887" spans="3:13" ht="12.75" customHeight="1" x14ac:dyDescent="0.2">
      <c r="C1887"/>
      <c r="M1887"/>
    </row>
    <row r="1888" spans="3:13" ht="12.75" customHeight="1" x14ac:dyDescent="0.2">
      <c r="C1888"/>
      <c r="M1888"/>
    </row>
    <row r="1889" spans="3:13" ht="12.75" customHeight="1" x14ac:dyDescent="0.2">
      <c r="C1889"/>
      <c r="M1889"/>
    </row>
    <row r="1890" spans="3:13" ht="12.75" customHeight="1" x14ac:dyDescent="0.2">
      <c r="C1890"/>
      <c r="M1890"/>
    </row>
    <row r="1891" spans="3:13" ht="12.75" customHeight="1" x14ac:dyDescent="0.2">
      <c r="C1891"/>
      <c r="M1891"/>
    </row>
    <row r="1892" spans="3:13" ht="12.75" customHeight="1" x14ac:dyDescent="0.2">
      <c r="C1892"/>
      <c r="M1892"/>
    </row>
    <row r="1893" spans="3:13" ht="12.75" customHeight="1" x14ac:dyDescent="0.2">
      <c r="C1893"/>
      <c r="M1893"/>
    </row>
    <row r="1894" spans="3:13" ht="12.75" customHeight="1" x14ac:dyDescent="0.2">
      <c r="C1894"/>
      <c r="M1894"/>
    </row>
    <row r="1895" spans="3:13" ht="12.75" customHeight="1" x14ac:dyDescent="0.2">
      <c r="C1895"/>
      <c r="M1895"/>
    </row>
    <row r="1896" spans="3:13" ht="12.75" customHeight="1" x14ac:dyDescent="0.2">
      <c r="C1896"/>
      <c r="M1896"/>
    </row>
    <row r="1897" spans="3:13" ht="12.75" customHeight="1" x14ac:dyDescent="0.2">
      <c r="C1897"/>
      <c r="M1897"/>
    </row>
    <row r="1898" spans="3:13" ht="12.75" customHeight="1" x14ac:dyDescent="0.2">
      <c r="C1898"/>
      <c r="M1898"/>
    </row>
    <row r="1899" spans="3:13" ht="12.75" customHeight="1" x14ac:dyDescent="0.2">
      <c r="C1899"/>
      <c r="M1899"/>
    </row>
    <row r="1900" spans="3:13" ht="12.75" customHeight="1" x14ac:dyDescent="0.2">
      <c r="C1900"/>
      <c r="M1900"/>
    </row>
    <row r="1901" spans="3:13" ht="12.75" customHeight="1" x14ac:dyDescent="0.2">
      <c r="C1901"/>
      <c r="M1901"/>
    </row>
    <row r="1902" spans="3:13" ht="12.75" customHeight="1" x14ac:dyDescent="0.2">
      <c r="C1902"/>
      <c r="M1902"/>
    </row>
    <row r="1903" spans="3:13" ht="12.75" customHeight="1" x14ac:dyDescent="0.2">
      <c r="C1903"/>
      <c r="M1903"/>
    </row>
    <row r="1904" spans="3:13" ht="12.75" customHeight="1" x14ac:dyDescent="0.2">
      <c r="C1904"/>
      <c r="M1904"/>
    </row>
    <row r="1905" spans="3:13" ht="12.75" customHeight="1" x14ac:dyDescent="0.2">
      <c r="C1905"/>
      <c r="M1905"/>
    </row>
    <row r="1906" spans="3:13" ht="12.75" customHeight="1" x14ac:dyDescent="0.2">
      <c r="C1906"/>
      <c r="M1906"/>
    </row>
    <row r="1907" spans="3:13" ht="12.75" customHeight="1" x14ac:dyDescent="0.2">
      <c r="C1907"/>
      <c r="M1907"/>
    </row>
    <row r="1908" spans="3:13" ht="12.75" customHeight="1" x14ac:dyDescent="0.2">
      <c r="C1908"/>
      <c r="M1908"/>
    </row>
    <row r="1909" spans="3:13" ht="12.75" customHeight="1" x14ac:dyDescent="0.2">
      <c r="C1909"/>
      <c r="M1909"/>
    </row>
    <row r="1910" spans="3:13" ht="12.75" customHeight="1" x14ac:dyDescent="0.2">
      <c r="C1910"/>
      <c r="M1910"/>
    </row>
    <row r="1911" spans="3:13" ht="12.75" customHeight="1" x14ac:dyDescent="0.2">
      <c r="C1911"/>
      <c r="M1911"/>
    </row>
    <row r="1912" spans="3:13" ht="12.75" customHeight="1" x14ac:dyDescent="0.2">
      <c r="C1912"/>
      <c r="M1912"/>
    </row>
    <row r="1913" spans="3:13" ht="12.75" customHeight="1" x14ac:dyDescent="0.2">
      <c r="C1913"/>
      <c r="M1913"/>
    </row>
    <row r="1914" spans="3:13" ht="12.75" customHeight="1" x14ac:dyDescent="0.2">
      <c r="C1914"/>
      <c r="M1914"/>
    </row>
    <row r="1915" spans="3:13" ht="12.75" customHeight="1" x14ac:dyDescent="0.2">
      <c r="C1915"/>
      <c r="M1915"/>
    </row>
    <row r="1916" spans="3:13" ht="12.75" customHeight="1" x14ac:dyDescent="0.2">
      <c r="C1916"/>
      <c r="M1916"/>
    </row>
    <row r="1917" spans="3:13" ht="12.75" customHeight="1" x14ac:dyDescent="0.2">
      <c r="C1917"/>
      <c r="M1917"/>
    </row>
    <row r="1918" spans="3:13" ht="12.75" customHeight="1" x14ac:dyDescent="0.2">
      <c r="C1918"/>
      <c r="M1918"/>
    </row>
    <row r="1919" spans="3:13" ht="12.75" customHeight="1" x14ac:dyDescent="0.2">
      <c r="C1919"/>
      <c r="M1919"/>
    </row>
    <row r="1920" spans="3:13" ht="12.75" customHeight="1" x14ac:dyDescent="0.2">
      <c r="C1920"/>
      <c r="M1920"/>
    </row>
    <row r="1921" spans="3:13" ht="12.75" customHeight="1" x14ac:dyDescent="0.2">
      <c r="C1921"/>
      <c r="M1921"/>
    </row>
    <row r="1922" spans="3:13" ht="12.75" customHeight="1" x14ac:dyDescent="0.2">
      <c r="C1922"/>
      <c r="M1922"/>
    </row>
    <row r="1923" spans="3:13" ht="12.75" customHeight="1" x14ac:dyDescent="0.2">
      <c r="C1923"/>
      <c r="M1923"/>
    </row>
    <row r="1924" spans="3:13" ht="12.75" customHeight="1" x14ac:dyDescent="0.2">
      <c r="C1924"/>
      <c r="M1924"/>
    </row>
    <row r="1925" spans="3:13" ht="12.75" customHeight="1" x14ac:dyDescent="0.2">
      <c r="C1925"/>
      <c r="M1925"/>
    </row>
    <row r="1926" spans="3:13" ht="12.75" customHeight="1" x14ac:dyDescent="0.2">
      <c r="C1926"/>
      <c r="M1926"/>
    </row>
    <row r="1927" spans="3:13" ht="12.75" customHeight="1" x14ac:dyDescent="0.2">
      <c r="C1927"/>
      <c r="M1927"/>
    </row>
    <row r="1928" spans="3:13" ht="12.75" customHeight="1" x14ac:dyDescent="0.2">
      <c r="C1928"/>
      <c r="M1928"/>
    </row>
    <row r="1929" spans="3:13" ht="12.75" customHeight="1" x14ac:dyDescent="0.2">
      <c r="C1929"/>
      <c r="M1929"/>
    </row>
    <row r="1930" spans="3:13" ht="12.75" customHeight="1" x14ac:dyDescent="0.2">
      <c r="C1930"/>
      <c r="M1930"/>
    </row>
    <row r="1931" spans="3:13" ht="12.75" customHeight="1" x14ac:dyDescent="0.2">
      <c r="C1931"/>
      <c r="M1931"/>
    </row>
    <row r="1932" spans="3:13" ht="12.75" customHeight="1" x14ac:dyDescent="0.2">
      <c r="C1932"/>
      <c r="M1932"/>
    </row>
    <row r="1933" spans="3:13" ht="12.75" customHeight="1" x14ac:dyDescent="0.2">
      <c r="C1933"/>
      <c r="M1933"/>
    </row>
    <row r="1934" spans="3:13" ht="12.75" customHeight="1" x14ac:dyDescent="0.2">
      <c r="C1934"/>
      <c r="M1934"/>
    </row>
    <row r="1935" spans="3:13" ht="12.75" customHeight="1" x14ac:dyDescent="0.2">
      <c r="C1935"/>
      <c r="M1935"/>
    </row>
    <row r="1936" spans="3:13" ht="12.75" customHeight="1" x14ac:dyDescent="0.2">
      <c r="C1936"/>
      <c r="M1936"/>
    </row>
    <row r="1937" spans="3:13" ht="12.75" customHeight="1" x14ac:dyDescent="0.2">
      <c r="C1937"/>
      <c r="M1937"/>
    </row>
    <row r="1938" spans="3:13" ht="12.75" customHeight="1" x14ac:dyDescent="0.2">
      <c r="C1938"/>
      <c r="M1938"/>
    </row>
    <row r="1939" spans="3:13" ht="12.75" customHeight="1" x14ac:dyDescent="0.2">
      <c r="C1939"/>
      <c r="M1939"/>
    </row>
    <row r="1940" spans="3:13" ht="12.75" customHeight="1" x14ac:dyDescent="0.2">
      <c r="C1940"/>
      <c r="M1940"/>
    </row>
    <row r="1941" spans="3:13" ht="12.75" customHeight="1" x14ac:dyDescent="0.2">
      <c r="C1941"/>
      <c r="M1941"/>
    </row>
    <row r="1942" spans="3:13" ht="12.75" customHeight="1" x14ac:dyDescent="0.2">
      <c r="C1942"/>
      <c r="M1942"/>
    </row>
    <row r="1943" spans="3:13" ht="12.75" customHeight="1" x14ac:dyDescent="0.2">
      <c r="C1943"/>
      <c r="M1943"/>
    </row>
    <row r="1944" spans="3:13" ht="12.75" customHeight="1" x14ac:dyDescent="0.2">
      <c r="C1944"/>
      <c r="M1944"/>
    </row>
    <row r="1945" spans="3:13" ht="12.75" customHeight="1" x14ac:dyDescent="0.2">
      <c r="C1945"/>
      <c r="M1945"/>
    </row>
    <row r="1946" spans="3:13" ht="12.75" customHeight="1" x14ac:dyDescent="0.2">
      <c r="C1946"/>
      <c r="M1946"/>
    </row>
    <row r="1947" spans="3:13" ht="12.75" customHeight="1" x14ac:dyDescent="0.2">
      <c r="C1947"/>
      <c r="M1947"/>
    </row>
    <row r="1948" spans="3:13" ht="12.75" customHeight="1" x14ac:dyDescent="0.2">
      <c r="C1948"/>
      <c r="M1948"/>
    </row>
    <row r="1949" spans="3:13" ht="12.75" customHeight="1" x14ac:dyDescent="0.2">
      <c r="C1949"/>
      <c r="M1949"/>
    </row>
    <row r="1950" spans="3:13" ht="12.75" customHeight="1" x14ac:dyDescent="0.2">
      <c r="C1950"/>
      <c r="M1950"/>
    </row>
    <row r="1951" spans="3:13" ht="12.75" customHeight="1" x14ac:dyDescent="0.2">
      <c r="C1951"/>
      <c r="M1951"/>
    </row>
    <row r="1952" spans="3:13" ht="12.75" customHeight="1" x14ac:dyDescent="0.2">
      <c r="C1952"/>
      <c r="M1952"/>
    </row>
    <row r="1953" spans="3:13" ht="12.75" customHeight="1" x14ac:dyDescent="0.2">
      <c r="C1953"/>
      <c r="M1953"/>
    </row>
    <row r="1954" spans="3:13" ht="12.75" customHeight="1" x14ac:dyDescent="0.2">
      <c r="C1954"/>
      <c r="M1954"/>
    </row>
    <row r="1955" spans="3:13" ht="12.75" customHeight="1" x14ac:dyDescent="0.2">
      <c r="C1955"/>
      <c r="M1955"/>
    </row>
    <row r="1956" spans="3:13" ht="12.75" customHeight="1" x14ac:dyDescent="0.2">
      <c r="C1956"/>
      <c r="M1956"/>
    </row>
    <row r="1957" spans="3:13" ht="12.75" customHeight="1" x14ac:dyDescent="0.2">
      <c r="C1957"/>
      <c r="M1957"/>
    </row>
    <row r="1958" spans="3:13" ht="12.75" customHeight="1" x14ac:dyDescent="0.2">
      <c r="C1958"/>
      <c r="M1958"/>
    </row>
    <row r="1959" spans="3:13" ht="12.75" customHeight="1" x14ac:dyDescent="0.2">
      <c r="C1959"/>
      <c r="M1959"/>
    </row>
    <row r="1960" spans="3:13" ht="12.75" customHeight="1" x14ac:dyDescent="0.2">
      <c r="C1960"/>
      <c r="M1960"/>
    </row>
    <row r="1961" spans="3:13" ht="12.75" customHeight="1" x14ac:dyDescent="0.2">
      <c r="C1961"/>
      <c r="M1961"/>
    </row>
    <row r="1962" spans="3:13" ht="12.75" customHeight="1" x14ac:dyDescent="0.2">
      <c r="C1962"/>
      <c r="M1962"/>
    </row>
    <row r="1963" spans="3:13" ht="12.75" customHeight="1" x14ac:dyDescent="0.2">
      <c r="C1963"/>
      <c r="M1963"/>
    </row>
    <row r="1964" spans="3:13" ht="12.75" customHeight="1" x14ac:dyDescent="0.2">
      <c r="C1964"/>
      <c r="M1964"/>
    </row>
    <row r="1965" spans="3:13" ht="12.75" customHeight="1" x14ac:dyDescent="0.2">
      <c r="C1965"/>
      <c r="M1965"/>
    </row>
    <row r="1966" spans="3:13" ht="12.75" customHeight="1" x14ac:dyDescent="0.2">
      <c r="C1966"/>
      <c r="M1966"/>
    </row>
    <row r="1967" spans="3:13" ht="12.75" customHeight="1" x14ac:dyDescent="0.2">
      <c r="C1967"/>
      <c r="M1967"/>
    </row>
    <row r="1968" spans="3:13" ht="12.75" customHeight="1" x14ac:dyDescent="0.2">
      <c r="C1968"/>
      <c r="M1968"/>
    </row>
    <row r="1969" spans="3:13" ht="12.75" customHeight="1" x14ac:dyDescent="0.2">
      <c r="C1969"/>
      <c r="M1969"/>
    </row>
    <row r="1970" spans="3:13" ht="12.75" customHeight="1" x14ac:dyDescent="0.2">
      <c r="C1970"/>
      <c r="M1970"/>
    </row>
    <row r="1971" spans="3:13" ht="12.75" customHeight="1" x14ac:dyDescent="0.2">
      <c r="C1971"/>
      <c r="M1971"/>
    </row>
    <row r="1972" spans="3:13" ht="12.75" customHeight="1" x14ac:dyDescent="0.2">
      <c r="C1972"/>
      <c r="M1972"/>
    </row>
    <row r="1973" spans="3:13" ht="12.75" customHeight="1" x14ac:dyDescent="0.2">
      <c r="C1973"/>
      <c r="M1973"/>
    </row>
    <row r="1974" spans="3:13" ht="12.75" customHeight="1" x14ac:dyDescent="0.2">
      <c r="C1974"/>
      <c r="M1974"/>
    </row>
    <row r="1975" spans="3:13" ht="12.75" customHeight="1" x14ac:dyDescent="0.2">
      <c r="C1975"/>
      <c r="M1975"/>
    </row>
    <row r="1976" spans="3:13" ht="12.75" customHeight="1" x14ac:dyDescent="0.2">
      <c r="C1976"/>
      <c r="M1976"/>
    </row>
    <row r="1977" spans="3:13" ht="12.75" customHeight="1" x14ac:dyDescent="0.2">
      <c r="C1977"/>
      <c r="M1977"/>
    </row>
    <row r="1978" spans="3:13" ht="12.75" customHeight="1" x14ac:dyDescent="0.2">
      <c r="C1978"/>
      <c r="M1978"/>
    </row>
    <row r="1979" spans="3:13" ht="12.75" customHeight="1" x14ac:dyDescent="0.2">
      <c r="C1979"/>
      <c r="M1979"/>
    </row>
    <row r="1980" spans="3:13" ht="12.75" customHeight="1" x14ac:dyDescent="0.2">
      <c r="C1980"/>
      <c r="M1980"/>
    </row>
    <row r="1981" spans="3:13" ht="12.75" customHeight="1" x14ac:dyDescent="0.2">
      <c r="C1981"/>
      <c r="M1981"/>
    </row>
    <row r="1982" spans="3:13" ht="12.75" customHeight="1" x14ac:dyDescent="0.2">
      <c r="C1982"/>
      <c r="M1982"/>
    </row>
    <row r="1983" spans="3:13" ht="12.75" customHeight="1" x14ac:dyDescent="0.2">
      <c r="C1983"/>
      <c r="M1983"/>
    </row>
    <row r="1984" spans="3:13" ht="12.75" customHeight="1" x14ac:dyDescent="0.2">
      <c r="C1984"/>
      <c r="M1984"/>
    </row>
    <row r="1985" spans="3:13" ht="12.75" customHeight="1" x14ac:dyDescent="0.2">
      <c r="C1985"/>
      <c r="M1985"/>
    </row>
    <row r="1986" spans="3:13" ht="12.75" customHeight="1" x14ac:dyDescent="0.2">
      <c r="C1986"/>
      <c r="M1986"/>
    </row>
    <row r="1987" spans="3:13" ht="12.75" customHeight="1" x14ac:dyDescent="0.2">
      <c r="C1987"/>
      <c r="M1987"/>
    </row>
    <row r="1988" spans="3:13" ht="12.75" customHeight="1" x14ac:dyDescent="0.2">
      <c r="C1988"/>
      <c r="M1988"/>
    </row>
    <row r="1989" spans="3:13" ht="12.75" customHeight="1" x14ac:dyDescent="0.2">
      <c r="C1989"/>
      <c r="M1989"/>
    </row>
    <row r="1990" spans="3:13" ht="12.75" customHeight="1" x14ac:dyDescent="0.2">
      <c r="C1990"/>
      <c r="M1990"/>
    </row>
    <row r="1991" spans="3:13" ht="12.75" customHeight="1" x14ac:dyDescent="0.2">
      <c r="C1991"/>
      <c r="M1991"/>
    </row>
    <row r="1992" spans="3:13" ht="12.75" customHeight="1" x14ac:dyDescent="0.2">
      <c r="C1992"/>
      <c r="M1992"/>
    </row>
    <row r="1993" spans="3:13" ht="12.75" customHeight="1" x14ac:dyDescent="0.2">
      <c r="C1993"/>
      <c r="M1993"/>
    </row>
    <row r="1994" spans="3:13" ht="12.75" customHeight="1" x14ac:dyDescent="0.2">
      <c r="C1994"/>
      <c r="M1994"/>
    </row>
    <row r="1995" spans="3:13" ht="12.75" customHeight="1" x14ac:dyDescent="0.2">
      <c r="C1995"/>
      <c r="M1995"/>
    </row>
    <row r="1996" spans="3:13" ht="12.75" customHeight="1" x14ac:dyDescent="0.2">
      <c r="C1996"/>
      <c r="M1996"/>
    </row>
    <row r="1997" spans="3:13" ht="12.75" customHeight="1" x14ac:dyDescent="0.2">
      <c r="C1997"/>
      <c r="M1997"/>
    </row>
    <row r="1998" spans="3:13" ht="12.75" customHeight="1" x14ac:dyDescent="0.2">
      <c r="C1998"/>
      <c r="M1998"/>
    </row>
    <row r="1999" spans="3:13" ht="12.75" customHeight="1" x14ac:dyDescent="0.2">
      <c r="C1999"/>
      <c r="M1999"/>
    </row>
    <row r="2000" spans="3:13" ht="12.75" customHeight="1" x14ac:dyDescent="0.2">
      <c r="C2000"/>
      <c r="M2000"/>
    </row>
    <row r="2001" spans="3:13" ht="12.75" customHeight="1" x14ac:dyDescent="0.2">
      <c r="C2001"/>
      <c r="M2001"/>
    </row>
    <row r="2002" spans="3:13" ht="12.75" customHeight="1" x14ac:dyDescent="0.2">
      <c r="C2002"/>
      <c r="M2002"/>
    </row>
    <row r="2003" spans="3:13" ht="12.75" customHeight="1" x14ac:dyDescent="0.2">
      <c r="C2003"/>
      <c r="M2003"/>
    </row>
    <row r="2004" spans="3:13" ht="12.75" customHeight="1" x14ac:dyDescent="0.2">
      <c r="C2004"/>
      <c r="M2004"/>
    </row>
    <row r="2005" spans="3:13" ht="12.75" customHeight="1" x14ac:dyDescent="0.2">
      <c r="C2005"/>
      <c r="M2005"/>
    </row>
    <row r="2006" spans="3:13" ht="12.75" customHeight="1" x14ac:dyDescent="0.2">
      <c r="C2006"/>
      <c r="M2006"/>
    </row>
    <row r="2007" spans="3:13" ht="12.75" customHeight="1" x14ac:dyDescent="0.2">
      <c r="C2007"/>
      <c r="M2007"/>
    </row>
    <row r="2008" spans="3:13" ht="12.75" customHeight="1" x14ac:dyDescent="0.2">
      <c r="C2008"/>
      <c r="M2008"/>
    </row>
    <row r="2009" spans="3:13" ht="12.75" customHeight="1" x14ac:dyDescent="0.2">
      <c r="C2009"/>
      <c r="M2009"/>
    </row>
    <row r="2010" spans="3:13" ht="12.75" customHeight="1" x14ac:dyDescent="0.2">
      <c r="C2010"/>
      <c r="M2010"/>
    </row>
    <row r="2011" spans="3:13" ht="12.75" customHeight="1" x14ac:dyDescent="0.2">
      <c r="C2011"/>
      <c r="M2011"/>
    </row>
    <row r="2012" spans="3:13" ht="12.75" customHeight="1" x14ac:dyDescent="0.2">
      <c r="C2012"/>
      <c r="M2012"/>
    </row>
    <row r="2013" spans="3:13" ht="12.75" customHeight="1" x14ac:dyDescent="0.2">
      <c r="C2013"/>
      <c r="M2013"/>
    </row>
    <row r="2014" spans="3:13" ht="12.75" customHeight="1" x14ac:dyDescent="0.2">
      <c r="C2014"/>
      <c r="M2014"/>
    </row>
    <row r="2015" spans="3:13" ht="12.75" customHeight="1" x14ac:dyDescent="0.2">
      <c r="C2015"/>
      <c r="M2015"/>
    </row>
    <row r="2016" spans="3:13" ht="12.75" customHeight="1" x14ac:dyDescent="0.2">
      <c r="C2016"/>
      <c r="M2016"/>
    </row>
    <row r="2017" spans="3:13" ht="12.75" customHeight="1" x14ac:dyDescent="0.2">
      <c r="C2017"/>
      <c r="M2017"/>
    </row>
    <row r="2018" spans="3:13" ht="12.75" customHeight="1" x14ac:dyDescent="0.2">
      <c r="C2018"/>
      <c r="M2018"/>
    </row>
    <row r="2019" spans="3:13" ht="12.75" customHeight="1" x14ac:dyDescent="0.2">
      <c r="C2019"/>
      <c r="M2019"/>
    </row>
    <row r="2020" spans="3:13" ht="12.75" customHeight="1" x14ac:dyDescent="0.2">
      <c r="C2020"/>
      <c r="M2020"/>
    </row>
    <row r="2021" spans="3:13" ht="12.75" customHeight="1" x14ac:dyDescent="0.2">
      <c r="C2021"/>
      <c r="M2021"/>
    </row>
    <row r="2022" spans="3:13" ht="12.75" customHeight="1" x14ac:dyDescent="0.2">
      <c r="C2022"/>
      <c r="M2022"/>
    </row>
    <row r="2023" spans="3:13" ht="12.75" customHeight="1" x14ac:dyDescent="0.2">
      <c r="C2023"/>
      <c r="M2023"/>
    </row>
    <row r="2024" spans="3:13" ht="12.75" customHeight="1" x14ac:dyDescent="0.2">
      <c r="C2024"/>
      <c r="M2024"/>
    </row>
    <row r="2025" spans="3:13" ht="12.75" customHeight="1" x14ac:dyDescent="0.2">
      <c r="C2025"/>
      <c r="M2025"/>
    </row>
    <row r="2026" spans="3:13" ht="12.75" customHeight="1" x14ac:dyDescent="0.2">
      <c r="C2026"/>
      <c r="M2026"/>
    </row>
    <row r="2027" spans="3:13" ht="12.75" customHeight="1" x14ac:dyDescent="0.2">
      <c r="C2027"/>
      <c r="M2027"/>
    </row>
    <row r="2028" spans="3:13" ht="12.75" customHeight="1" x14ac:dyDescent="0.2">
      <c r="C2028"/>
      <c r="M2028"/>
    </row>
    <row r="2029" spans="3:13" ht="12.75" customHeight="1" x14ac:dyDescent="0.2">
      <c r="C2029"/>
      <c r="M2029"/>
    </row>
    <row r="2030" spans="3:13" ht="12.75" customHeight="1" x14ac:dyDescent="0.2">
      <c r="C2030"/>
      <c r="M2030"/>
    </row>
    <row r="2031" spans="3:13" ht="12.75" customHeight="1" x14ac:dyDescent="0.2">
      <c r="C2031"/>
      <c r="M2031"/>
    </row>
    <row r="2032" spans="3:13" ht="12.75" customHeight="1" x14ac:dyDescent="0.2">
      <c r="C2032"/>
      <c r="M2032"/>
    </row>
    <row r="2033" spans="3:13" ht="12.75" customHeight="1" x14ac:dyDescent="0.2">
      <c r="C2033"/>
      <c r="M2033"/>
    </row>
    <row r="2034" spans="3:13" ht="12.75" customHeight="1" x14ac:dyDescent="0.2">
      <c r="C2034"/>
      <c r="M2034"/>
    </row>
    <row r="2035" spans="3:13" ht="12.75" customHeight="1" x14ac:dyDescent="0.2">
      <c r="C2035"/>
      <c r="M2035"/>
    </row>
    <row r="2036" spans="3:13" ht="12.75" customHeight="1" x14ac:dyDescent="0.2">
      <c r="C2036"/>
      <c r="M2036"/>
    </row>
    <row r="2037" spans="3:13" ht="12.75" customHeight="1" x14ac:dyDescent="0.2">
      <c r="C2037"/>
      <c r="M2037"/>
    </row>
    <row r="2038" spans="3:13" ht="12.75" customHeight="1" x14ac:dyDescent="0.2">
      <c r="C2038"/>
      <c r="M2038"/>
    </row>
    <row r="2039" spans="3:13" ht="12.75" customHeight="1" x14ac:dyDescent="0.2">
      <c r="C2039"/>
      <c r="M2039"/>
    </row>
    <row r="2040" spans="3:13" ht="12.75" customHeight="1" x14ac:dyDescent="0.2">
      <c r="C2040"/>
      <c r="M2040"/>
    </row>
    <row r="2041" spans="3:13" ht="12.75" customHeight="1" x14ac:dyDescent="0.2">
      <c r="C2041"/>
      <c r="M2041"/>
    </row>
    <row r="2042" spans="3:13" ht="12.75" customHeight="1" x14ac:dyDescent="0.2">
      <c r="C2042"/>
      <c r="M2042"/>
    </row>
    <row r="2043" spans="3:13" ht="12.75" customHeight="1" x14ac:dyDescent="0.2">
      <c r="C2043"/>
      <c r="M2043"/>
    </row>
    <row r="2044" spans="3:13" ht="12.75" customHeight="1" x14ac:dyDescent="0.2">
      <c r="C2044"/>
      <c r="M2044"/>
    </row>
    <row r="2045" spans="3:13" ht="12.75" customHeight="1" x14ac:dyDescent="0.2">
      <c r="C2045"/>
      <c r="M2045"/>
    </row>
    <row r="2046" spans="3:13" ht="12.75" customHeight="1" x14ac:dyDescent="0.2">
      <c r="C2046"/>
      <c r="M2046"/>
    </row>
    <row r="2047" spans="3:13" ht="12.75" customHeight="1" x14ac:dyDescent="0.2">
      <c r="C2047"/>
      <c r="M2047"/>
    </row>
    <row r="2048" spans="3:13" ht="12.75" customHeight="1" x14ac:dyDescent="0.2">
      <c r="C2048"/>
      <c r="M2048"/>
    </row>
    <row r="2049" spans="3:13" ht="12.75" customHeight="1" x14ac:dyDescent="0.2">
      <c r="C2049"/>
      <c r="M2049"/>
    </row>
    <row r="2050" spans="3:13" ht="12.75" customHeight="1" x14ac:dyDescent="0.2">
      <c r="C2050"/>
      <c r="M2050"/>
    </row>
    <row r="2051" spans="3:13" ht="12.75" customHeight="1" x14ac:dyDescent="0.2">
      <c r="C2051"/>
      <c r="M2051"/>
    </row>
    <row r="2052" spans="3:13" ht="12.75" customHeight="1" x14ac:dyDescent="0.2">
      <c r="C2052"/>
      <c r="M2052"/>
    </row>
    <row r="2053" spans="3:13" ht="12.75" customHeight="1" x14ac:dyDescent="0.2">
      <c r="C2053"/>
      <c r="M2053"/>
    </row>
    <row r="2054" spans="3:13" ht="12.75" customHeight="1" x14ac:dyDescent="0.2">
      <c r="C2054"/>
      <c r="M2054"/>
    </row>
    <row r="2055" spans="3:13" ht="12.75" customHeight="1" x14ac:dyDescent="0.2">
      <c r="C2055"/>
      <c r="M2055"/>
    </row>
    <row r="2056" spans="3:13" ht="12.75" customHeight="1" x14ac:dyDescent="0.2">
      <c r="C2056"/>
      <c r="M2056"/>
    </row>
    <row r="2057" spans="3:13" ht="12.75" customHeight="1" x14ac:dyDescent="0.2">
      <c r="C2057"/>
      <c r="M2057"/>
    </row>
    <row r="2058" spans="3:13" ht="12.75" customHeight="1" x14ac:dyDescent="0.2">
      <c r="C2058"/>
      <c r="M2058"/>
    </row>
    <row r="2059" spans="3:13" ht="12.75" customHeight="1" x14ac:dyDescent="0.2">
      <c r="C2059"/>
      <c r="M2059"/>
    </row>
    <row r="2060" spans="3:13" ht="12.75" customHeight="1" x14ac:dyDescent="0.2">
      <c r="C2060"/>
      <c r="M2060"/>
    </row>
    <row r="2061" spans="3:13" ht="12.75" customHeight="1" x14ac:dyDescent="0.2">
      <c r="C2061"/>
      <c r="M2061"/>
    </row>
    <row r="2062" spans="3:13" ht="12.75" customHeight="1" x14ac:dyDescent="0.2">
      <c r="C2062"/>
      <c r="M2062"/>
    </row>
    <row r="2063" spans="3:13" ht="12.75" customHeight="1" x14ac:dyDescent="0.2">
      <c r="C2063"/>
      <c r="M2063"/>
    </row>
    <row r="2064" spans="3:13" ht="12.75" customHeight="1" x14ac:dyDescent="0.2">
      <c r="C2064"/>
      <c r="M2064"/>
    </row>
    <row r="2065" spans="3:13" ht="12.75" customHeight="1" x14ac:dyDescent="0.2">
      <c r="C2065"/>
      <c r="M2065"/>
    </row>
    <row r="2066" spans="3:13" ht="12.75" customHeight="1" x14ac:dyDescent="0.2">
      <c r="C2066"/>
      <c r="M2066"/>
    </row>
    <row r="2067" spans="3:13" ht="12.75" customHeight="1" x14ac:dyDescent="0.2">
      <c r="C2067"/>
      <c r="M2067"/>
    </row>
    <row r="2068" spans="3:13" ht="12.75" customHeight="1" x14ac:dyDescent="0.2">
      <c r="C2068"/>
      <c r="M2068"/>
    </row>
    <row r="2069" spans="3:13" ht="12.75" customHeight="1" x14ac:dyDescent="0.2">
      <c r="C2069"/>
      <c r="M2069"/>
    </row>
    <row r="2070" spans="3:13" ht="12.75" customHeight="1" x14ac:dyDescent="0.2">
      <c r="C2070"/>
      <c r="M2070"/>
    </row>
    <row r="2071" spans="3:13" ht="12.75" customHeight="1" x14ac:dyDescent="0.2">
      <c r="C2071"/>
      <c r="M2071"/>
    </row>
    <row r="2072" spans="3:13" ht="12.75" customHeight="1" x14ac:dyDescent="0.2">
      <c r="C2072"/>
      <c r="M2072"/>
    </row>
    <row r="2073" spans="3:13" ht="12.75" customHeight="1" x14ac:dyDescent="0.2">
      <c r="C2073"/>
      <c r="M2073"/>
    </row>
    <row r="2074" spans="3:13" ht="12.75" customHeight="1" x14ac:dyDescent="0.2">
      <c r="C2074"/>
      <c r="M2074"/>
    </row>
    <row r="2075" spans="3:13" ht="12.75" customHeight="1" x14ac:dyDescent="0.2">
      <c r="C2075"/>
      <c r="M2075"/>
    </row>
    <row r="2076" spans="3:13" ht="12.75" customHeight="1" x14ac:dyDescent="0.2">
      <c r="C2076"/>
      <c r="M2076"/>
    </row>
    <row r="2077" spans="3:13" ht="12.75" customHeight="1" x14ac:dyDescent="0.2">
      <c r="C2077"/>
      <c r="M2077"/>
    </row>
    <row r="2078" spans="3:13" ht="12.75" customHeight="1" x14ac:dyDescent="0.2">
      <c r="C2078"/>
      <c r="M2078"/>
    </row>
    <row r="2079" spans="3:13" ht="12.75" customHeight="1" x14ac:dyDescent="0.2">
      <c r="C2079"/>
      <c r="M2079"/>
    </row>
    <row r="2080" spans="3:13" ht="12.75" customHeight="1" x14ac:dyDescent="0.2">
      <c r="C2080"/>
      <c r="M2080"/>
    </row>
    <row r="2081" spans="3:13" ht="12.75" customHeight="1" x14ac:dyDescent="0.2">
      <c r="C2081"/>
      <c r="M2081"/>
    </row>
    <row r="2082" spans="3:13" ht="12.75" customHeight="1" x14ac:dyDescent="0.2">
      <c r="C2082"/>
      <c r="M2082"/>
    </row>
    <row r="2083" spans="3:13" ht="12.75" customHeight="1" x14ac:dyDescent="0.2">
      <c r="C2083"/>
      <c r="M2083"/>
    </row>
    <row r="2084" spans="3:13" ht="12.75" customHeight="1" x14ac:dyDescent="0.2">
      <c r="C2084"/>
      <c r="M2084"/>
    </row>
    <row r="2085" spans="3:13" ht="12.75" customHeight="1" x14ac:dyDescent="0.2">
      <c r="C2085"/>
      <c r="M2085"/>
    </row>
    <row r="2086" spans="3:13" ht="12.75" customHeight="1" x14ac:dyDescent="0.2">
      <c r="C2086"/>
      <c r="M2086"/>
    </row>
    <row r="2087" spans="3:13" ht="12.75" customHeight="1" x14ac:dyDescent="0.2">
      <c r="C2087"/>
      <c r="M2087"/>
    </row>
    <row r="2088" spans="3:13" ht="12.75" customHeight="1" x14ac:dyDescent="0.2">
      <c r="C2088"/>
      <c r="M2088"/>
    </row>
    <row r="2089" spans="3:13" ht="12.75" customHeight="1" x14ac:dyDescent="0.2">
      <c r="C2089"/>
      <c r="M2089"/>
    </row>
    <row r="2090" spans="3:13" ht="12.75" customHeight="1" x14ac:dyDescent="0.2">
      <c r="C2090"/>
      <c r="M2090"/>
    </row>
    <row r="2091" spans="3:13" ht="12.75" customHeight="1" x14ac:dyDescent="0.2">
      <c r="C2091"/>
      <c r="M2091"/>
    </row>
    <row r="2092" spans="3:13" ht="12.75" customHeight="1" x14ac:dyDescent="0.2">
      <c r="C2092"/>
      <c r="M2092"/>
    </row>
    <row r="2093" spans="3:13" ht="12.75" customHeight="1" x14ac:dyDescent="0.2">
      <c r="C2093"/>
      <c r="M2093"/>
    </row>
    <row r="2094" spans="3:13" ht="12.75" customHeight="1" x14ac:dyDescent="0.2">
      <c r="C2094"/>
      <c r="M2094"/>
    </row>
    <row r="2095" spans="3:13" ht="12.75" customHeight="1" x14ac:dyDescent="0.2">
      <c r="C2095"/>
      <c r="M2095"/>
    </row>
    <row r="2096" spans="3:13" ht="12.75" customHeight="1" x14ac:dyDescent="0.2">
      <c r="C2096"/>
      <c r="M2096"/>
    </row>
    <row r="2097" spans="3:13" ht="12.75" customHeight="1" x14ac:dyDescent="0.2">
      <c r="C2097"/>
      <c r="M2097"/>
    </row>
    <row r="2098" spans="3:13" ht="12.75" customHeight="1" x14ac:dyDescent="0.2">
      <c r="C2098"/>
      <c r="M2098"/>
    </row>
    <row r="2099" spans="3:13" ht="12.75" customHeight="1" x14ac:dyDescent="0.2">
      <c r="C2099"/>
      <c r="M2099"/>
    </row>
    <row r="2100" spans="3:13" ht="12.75" customHeight="1" x14ac:dyDescent="0.2">
      <c r="C2100"/>
      <c r="M2100"/>
    </row>
    <row r="2101" spans="3:13" ht="12.75" customHeight="1" x14ac:dyDescent="0.2">
      <c r="C2101"/>
      <c r="M2101"/>
    </row>
    <row r="2102" spans="3:13" ht="12.75" customHeight="1" x14ac:dyDescent="0.2">
      <c r="C2102"/>
      <c r="M2102"/>
    </row>
    <row r="2103" spans="3:13" ht="12.75" customHeight="1" x14ac:dyDescent="0.2">
      <c r="C2103"/>
      <c r="M2103"/>
    </row>
    <row r="2104" spans="3:13" ht="12.75" customHeight="1" x14ac:dyDescent="0.2">
      <c r="C2104"/>
      <c r="M2104"/>
    </row>
    <row r="2105" spans="3:13" ht="12.75" customHeight="1" x14ac:dyDescent="0.2">
      <c r="C2105"/>
      <c r="M2105"/>
    </row>
    <row r="2106" spans="3:13" ht="12.75" customHeight="1" x14ac:dyDescent="0.2">
      <c r="C2106"/>
      <c r="M2106"/>
    </row>
    <row r="2107" spans="3:13" ht="12.75" customHeight="1" x14ac:dyDescent="0.2">
      <c r="C2107"/>
      <c r="M2107"/>
    </row>
    <row r="2108" spans="3:13" ht="12.75" customHeight="1" x14ac:dyDescent="0.2">
      <c r="C2108"/>
      <c r="M2108"/>
    </row>
    <row r="2109" spans="3:13" ht="12.75" customHeight="1" x14ac:dyDescent="0.2">
      <c r="C2109"/>
      <c r="M2109"/>
    </row>
    <row r="2110" spans="3:13" ht="12.75" customHeight="1" x14ac:dyDescent="0.2">
      <c r="C2110"/>
      <c r="M2110"/>
    </row>
    <row r="2111" spans="3:13" ht="12.75" customHeight="1" x14ac:dyDescent="0.2">
      <c r="C2111"/>
      <c r="M2111"/>
    </row>
    <row r="2112" spans="3:13" ht="12.75" customHeight="1" x14ac:dyDescent="0.2">
      <c r="C2112"/>
      <c r="M2112"/>
    </row>
    <row r="2113" spans="3:13" ht="12.75" customHeight="1" x14ac:dyDescent="0.2">
      <c r="C2113"/>
      <c r="M2113"/>
    </row>
    <row r="2114" spans="3:13" ht="12.75" customHeight="1" x14ac:dyDescent="0.2">
      <c r="C2114"/>
      <c r="M2114"/>
    </row>
    <row r="2115" spans="3:13" ht="12.75" customHeight="1" x14ac:dyDescent="0.2">
      <c r="C2115"/>
      <c r="M2115"/>
    </row>
    <row r="2116" spans="3:13" ht="12.75" customHeight="1" x14ac:dyDescent="0.2">
      <c r="C2116"/>
      <c r="M2116"/>
    </row>
    <row r="2117" spans="3:13" ht="12.75" customHeight="1" x14ac:dyDescent="0.2">
      <c r="C2117"/>
      <c r="M2117"/>
    </row>
    <row r="2118" spans="3:13" ht="12.75" customHeight="1" x14ac:dyDescent="0.2">
      <c r="C2118"/>
      <c r="M2118"/>
    </row>
    <row r="2119" spans="3:13" ht="12.75" customHeight="1" x14ac:dyDescent="0.2">
      <c r="C2119"/>
      <c r="M2119"/>
    </row>
    <row r="2120" spans="3:13" ht="12.75" customHeight="1" x14ac:dyDescent="0.2">
      <c r="C2120"/>
      <c r="M2120"/>
    </row>
    <row r="2121" spans="3:13" ht="12.75" customHeight="1" x14ac:dyDescent="0.2">
      <c r="C2121"/>
      <c r="M2121"/>
    </row>
    <row r="2122" spans="3:13" ht="12.75" customHeight="1" x14ac:dyDescent="0.2">
      <c r="C2122"/>
      <c r="M2122"/>
    </row>
    <row r="2123" spans="3:13" ht="12.75" customHeight="1" x14ac:dyDescent="0.2">
      <c r="C2123"/>
      <c r="M2123"/>
    </row>
    <row r="2124" spans="3:13" ht="12.75" customHeight="1" x14ac:dyDescent="0.2">
      <c r="C2124"/>
      <c r="M2124"/>
    </row>
    <row r="2125" spans="3:13" ht="12.75" customHeight="1" x14ac:dyDescent="0.2">
      <c r="C2125"/>
      <c r="M2125"/>
    </row>
    <row r="2126" spans="3:13" ht="12.75" customHeight="1" x14ac:dyDescent="0.2">
      <c r="C2126"/>
      <c r="M2126"/>
    </row>
    <row r="2127" spans="3:13" ht="12.75" customHeight="1" x14ac:dyDescent="0.2">
      <c r="C2127"/>
      <c r="M2127"/>
    </row>
    <row r="2128" spans="3:13" ht="12.75" customHeight="1" x14ac:dyDescent="0.2">
      <c r="C2128"/>
      <c r="M2128"/>
    </row>
    <row r="2129" spans="3:13" ht="12.75" customHeight="1" x14ac:dyDescent="0.2">
      <c r="C2129"/>
      <c r="M2129"/>
    </row>
    <row r="2130" spans="3:13" ht="12.75" customHeight="1" x14ac:dyDescent="0.2">
      <c r="C2130"/>
      <c r="M2130"/>
    </row>
    <row r="2131" spans="3:13" ht="12.75" customHeight="1" x14ac:dyDescent="0.2">
      <c r="C2131"/>
      <c r="M2131"/>
    </row>
    <row r="2132" spans="3:13" ht="12.75" customHeight="1" x14ac:dyDescent="0.2">
      <c r="C2132"/>
      <c r="M2132"/>
    </row>
    <row r="2133" spans="3:13" ht="12.75" customHeight="1" x14ac:dyDescent="0.2">
      <c r="C2133"/>
      <c r="M2133"/>
    </row>
    <row r="2134" spans="3:13" ht="12.75" customHeight="1" x14ac:dyDescent="0.2">
      <c r="C2134"/>
      <c r="M2134"/>
    </row>
    <row r="2135" spans="3:13" ht="12.75" customHeight="1" x14ac:dyDescent="0.2">
      <c r="C2135"/>
      <c r="M2135"/>
    </row>
    <row r="2136" spans="3:13" ht="12.75" customHeight="1" x14ac:dyDescent="0.2">
      <c r="C2136"/>
      <c r="M2136"/>
    </row>
    <row r="2137" spans="3:13" ht="12.75" customHeight="1" x14ac:dyDescent="0.2">
      <c r="C2137"/>
      <c r="M2137"/>
    </row>
    <row r="2138" spans="3:13" ht="12.75" customHeight="1" x14ac:dyDescent="0.2">
      <c r="C2138"/>
      <c r="M2138"/>
    </row>
    <row r="2139" spans="3:13" ht="12.75" customHeight="1" x14ac:dyDescent="0.2">
      <c r="C2139"/>
      <c r="M2139"/>
    </row>
    <row r="2140" spans="3:13" ht="12.75" customHeight="1" x14ac:dyDescent="0.2">
      <c r="C2140"/>
      <c r="M2140"/>
    </row>
    <row r="2141" spans="3:13" ht="12.75" customHeight="1" x14ac:dyDescent="0.2">
      <c r="C2141"/>
      <c r="M2141"/>
    </row>
    <row r="2142" spans="3:13" ht="12.75" customHeight="1" x14ac:dyDescent="0.2">
      <c r="C2142"/>
      <c r="M2142"/>
    </row>
    <row r="2143" spans="3:13" ht="12.75" customHeight="1" x14ac:dyDescent="0.2">
      <c r="C2143"/>
      <c r="M2143"/>
    </row>
    <row r="2144" spans="3:13" ht="12.75" customHeight="1" x14ac:dyDescent="0.2">
      <c r="C2144"/>
      <c r="M2144"/>
    </row>
    <row r="2145" spans="3:13" ht="12.75" customHeight="1" x14ac:dyDescent="0.2">
      <c r="C2145"/>
      <c r="M2145"/>
    </row>
    <row r="2146" spans="3:13" ht="12.75" customHeight="1" x14ac:dyDescent="0.2">
      <c r="C2146"/>
      <c r="M2146"/>
    </row>
    <row r="2147" spans="3:13" ht="12.75" customHeight="1" x14ac:dyDescent="0.2">
      <c r="C2147"/>
      <c r="M2147"/>
    </row>
    <row r="2148" spans="3:13" ht="12.75" customHeight="1" x14ac:dyDescent="0.2">
      <c r="C2148"/>
      <c r="M2148"/>
    </row>
    <row r="2149" spans="3:13" ht="12.75" customHeight="1" x14ac:dyDescent="0.2">
      <c r="C2149"/>
      <c r="M2149"/>
    </row>
    <row r="2150" spans="3:13" ht="12.75" customHeight="1" x14ac:dyDescent="0.2">
      <c r="C2150"/>
      <c r="M2150"/>
    </row>
    <row r="2151" spans="3:13" ht="12.75" customHeight="1" x14ac:dyDescent="0.2">
      <c r="C2151"/>
      <c r="M2151"/>
    </row>
    <row r="2152" spans="3:13" ht="12.75" customHeight="1" x14ac:dyDescent="0.2">
      <c r="C2152"/>
      <c r="M2152"/>
    </row>
    <row r="2153" spans="3:13" ht="12.75" customHeight="1" x14ac:dyDescent="0.2">
      <c r="C2153"/>
      <c r="M2153"/>
    </row>
    <row r="2154" spans="3:13" ht="12.75" customHeight="1" x14ac:dyDescent="0.2">
      <c r="C2154"/>
      <c r="M2154"/>
    </row>
    <row r="2155" spans="3:13" ht="12.75" customHeight="1" x14ac:dyDescent="0.2">
      <c r="C2155"/>
      <c r="M2155"/>
    </row>
    <row r="2156" spans="3:13" ht="12.75" customHeight="1" x14ac:dyDescent="0.2">
      <c r="C2156"/>
      <c r="M2156"/>
    </row>
    <row r="2157" spans="3:13" ht="12.75" customHeight="1" x14ac:dyDescent="0.2">
      <c r="C2157"/>
      <c r="M2157"/>
    </row>
    <row r="2158" spans="3:13" ht="12.75" customHeight="1" x14ac:dyDescent="0.2">
      <c r="C2158"/>
      <c r="M2158"/>
    </row>
    <row r="2159" spans="3:13" ht="12.75" customHeight="1" x14ac:dyDescent="0.2">
      <c r="C2159"/>
      <c r="M2159"/>
    </row>
    <row r="2160" spans="3:13" ht="12.75" customHeight="1" x14ac:dyDescent="0.2">
      <c r="C2160"/>
      <c r="M2160"/>
    </row>
    <row r="2161" spans="3:13" ht="12.75" customHeight="1" x14ac:dyDescent="0.2">
      <c r="C2161"/>
      <c r="M2161"/>
    </row>
    <row r="2162" spans="3:13" ht="12.75" customHeight="1" x14ac:dyDescent="0.2">
      <c r="C2162"/>
      <c r="M2162"/>
    </row>
    <row r="2163" spans="3:13" ht="12.75" customHeight="1" x14ac:dyDescent="0.2">
      <c r="C2163"/>
      <c r="M2163"/>
    </row>
    <row r="2164" spans="3:13" ht="12.75" customHeight="1" x14ac:dyDescent="0.2">
      <c r="C2164"/>
      <c r="M2164"/>
    </row>
    <row r="2165" spans="3:13" ht="12.75" customHeight="1" x14ac:dyDescent="0.2">
      <c r="C2165"/>
      <c r="M2165"/>
    </row>
    <row r="2166" spans="3:13" ht="12.75" customHeight="1" x14ac:dyDescent="0.2">
      <c r="C2166"/>
      <c r="M2166"/>
    </row>
    <row r="2167" spans="3:13" ht="12.75" customHeight="1" x14ac:dyDescent="0.2">
      <c r="C2167"/>
      <c r="M2167"/>
    </row>
    <row r="2168" spans="3:13" ht="12.75" customHeight="1" x14ac:dyDescent="0.2">
      <c r="C2168"/>
      <c r="M2168"/>
    </row>
    <row r="2169" spans="3:13" ht="12.75" customHeight="1" x14ac:dyDescent="0.2">
      <c r="C2169"/>
      <c r="M2169"/>
    </row>
    <row r="2170" spans="3:13" ht="12.75" customHeight="1" x14ac:dyDescent="0.2">
      <c r="C2170"/>
      <c r="M2170"/>
    </row>
    <row r="2171" spans="3:13" ht="12.75" customHeight="1" x14ac:dyDescent="0.2">
      <c r="C2171"/>
      <c r="M2171"/>
    </row>
    <row r="2172" spans="3:13" ht="12.75" customHeight="1" x14ac:dyDescent="0.2">
      <c r="C2172"/>
      <c r="M2172"/>
    </row>
    <row r="2173" spans="3:13" ht="12.75" customHeight="1" x14ac:dyDescent="0.2">
      <c r="C2173"/>
      <c r="M2173"/>
    </row>
    <row r="2174" spans="3:13" ht="12.75" customHeight="1" x14ac:dyDescent="0.2">
      <c r="C2174"/>
      <c r="M2174"/>
    </row>
    <row r="2175" spans="3:13" ht="12.75" customHeight="1" x14ac:dyDescent="0.2">
      <c r="C2175"/>
      <c r="M2175"/>
    </row>
    <row r="2176" spans="3:13" ht="12.75" customHeight="1" x14ac:dyDescent="0.2">
      <c r="C2176"/>
      <c r="M2176"/>
    </row>
    <row r="2177" spans="3:13" ht="12.75" customHeight="1" x14ac:dyDescent="0.2">
      <c r="C2177"/>
      <c r="M2177"/>
    </row>
    <row r="2178" spans="3:13" ht="12.75" customHeight="1" x14ac:dyDescent="0.2">
      <c r="C2178"/>
      <c r="M2178"/>
    </row>
    <row r="2179" spans="3:13" ht="12.75" customHeight="1" x14ac:dyDescent="0.2">
      <c r="C2179"/>
      <c r="M2179"/>
    </row>
    <row r="2180" spans="3:13" ht="12.75" customHeight="1" x14ac:dyDescent="0.2">
      <c r="C2180"/>
      <c r="M2180"/>
    </row>
    <row r="2181" spans="3:13" ht="12.75" customHeight="1" x14ac:dyDescent="0.2">
      <c r="C2181"/>
      <c r="M2181"/>
    </row>
    <row r="2182" spans="3:13" ht="12.75" customHeight="1" x14ac:dyDescent="0.2">
      <c r="C2182"/>
      <c r="M2182"/>
    </row>
    <row r="2183" spans="3:13" ht="12.75" customHeight="1" x14ac:dyDescent="0.2">
      <c r="C2183"/>
      <c r="M2183"/>
    </row>
    <row r="2184" spans="3:13" ht="12.75" customHeight="1" x14ac:dyDescent="0.2">
      <c r="C2184"/>
      <c r="M2184"/>
    </row>
    <row r="2185" spans="3:13" ht="12.75" customHeight="1" x14ac:dyDescent="0.2">
      <c r="C2185"/>
      <c r="M2185"/>
    </row>
    <row r="2186" spans="3:13" ht="12.75" customHeight="1" x14ac:dyDescent="0.2">
      <c r="C2186"/>
      <c r="M2186"/>
    </row>
    <row r="2187" spans="3:13" ht="12.75" customHeight="1" x14ac:dyDescent="0.2">
      <c r="C2187"/>
      <c r="M2187"/>
    </row>
    <row r="2188" spans="3:13" ht="12.75" customHeight="1" x14ac:dyDescent="0.2">
      <c r="C2188"/>
      <c r="M2188"/>
    </row>
    <row r="2189" spans="3:13" ht="12.75" customHeight="1" x14ac:dyDescent="0.2">
      <c r="C2189"/>
      <c r="M2189"/>
    </row>
    <row r="2190" spans="3:13" ht="12.75" customHeight="1" x14ac:dyDescent="0.2">
      <c r="C2190"/>
      <c r="M2190"/>
    </row>
    <row r="2191" spans="3:13" ht="12.75" customHeight="1" x14ac:dyDescent="0.2">
      <c r="C2191"/>
      <c r="M2191"/>
    </row>
    <row r="2192" spans="3:13" ht="12.75" customHeight="1" x14ac:dyDescent="0.2">
      <c r="C2192"/>
      <c r="M2192"/>
    </row>
    <row r="2193" spans="3:13" ht="12.75" customHeight="1" x14ac:dyDescent="0.2">
      <c r="C2193"/>
      <c r="M2193"/>
    </row>
    <row r="2194" spans="3:13" ht="12.75" customHeight="1" x14ac:dyDescent="0.2">
      <c r="C2194"/>
      <c r="M2194"/>
    </row>
    <row r="2195" spans="3:13" ht="12.75" customHeight="1" x14ac:dyDescent="0.2">
      <c r="C2195"/>
      <c r="M2195"/>
    </row>
    <row r="2196" spans="3:13" ht="12.75" customHeight="1" x14ac:dyDescent="0.2">
      <c r="C2196"/>
      <c r="M2196"/>
    </row>
    <row r="2197" spans="3:13" ht="12.75" customHeight="1" x14ac:dyDescent="0.2">
      <c r="C2197"/>
      <c r="M2197"/>
    </row>
    <row r="2198" spans="3:13" ht="12.75" customHeight="1" x14ac:dyDescent="0.2">
      <c r="C2198"/>
      <c r="M2198"/>
    </row>
    <row r="2199" spans="3:13" ht="12.75" customHeight="1" x14ac:dyDescent="0.2">
      <c r="C2199"/>
      <c r="M2199"/>
    </row>
    <row r="2200" spans="3:13" ht="12.75" customHeight="1" x14ac:dyDescent="0.2">
      <c r="C2200"/>
      <c r="M2200"/>
    </row>
    <row r="2201" spans="3:13" ht="12.75" customHeight="1" x14ac:dyDescent="0.2">
      <c r="C2201"/>
      <c r="M2201"/>
    </row>
    <row r="2202" spans="3:13" ht="12.75" customHeight="1" x14ac:dyDescent="0.2">
      <c r="C2202"/>
      <c r="M2202"/>
    </row>
    <row r="2203" spans="3:13" ht="12.75" customHeight="1" x14ac:dyDescent="0.2">
      <c r="C2203"/>
      <c r="M2203"/>
    </row>
    <row r="2204" spans="3:13" ht="12.75" customHeight="1" x14ac:dyDescent="0.2">
      <c r="C2204"/>
      <c r="M2204"/>
    </row>
    <row r="2205" spans="3:13" ht="12.75" customHeight="1" x14ac:dyDescent="0.2">
      <c r="C2205"/>
      <c r="M2205"/>
    </row>
    <row r="2206" spans="3:13" ht="12.75" customHeight="1" x14ac:dyDescent="0.2">
      <c r="C2206"/>
      <c r="M2206"/>
    </row>
    <row r="2207" spans="3:13" ht="12.75" customHeight="1" x14ac:dyDescent="0.2">
      <c r="C2207"/>
      <c r="M2207"/>
    </row>
    <row r="2208" spans="3:13" ht="12.75" customHeight="1" x14ac:dyDescent="0.2">
      <c r="C2208"/>
      <c r="M2208"/>
    </row>
    <row r="2209" spans="3:13" ht="12.75" customHeight="1" x14ac:dyDescent="0.2">
      <c r="C2209"/>
      <c r="M2209"/>
    </row>
    <row r="2210" spans="3:13" ht="12.75" customHeight="1" x14ac:dyDescent="0.2">
      <c r="C2210"/>
      <c r="M2210"/>
    </row>
    <row r="2211" spans="3:13" ht="12.75" customHeight="1" x14ac:dyDescent="0.2">
      <c r="C2211"/>
      <c r="M2211"/>
    </row>
    <row r="2212" spans="3:13" ht="12.75" customHeight="1" x14ac:dyDescent="0.2">
      <c r="C2212"/>
      <c r="M2212"/>
    </row>
    <row r="2213" spans="3:13" ht="12.75" customHeight="1" x14ac:dyDescent="0.2">
      <c r="C2213"/>
      <c r="M2213"/>
    </row>
    <row r="2214" spans="3:13" ht="12.75" customHeight="1" x14ac:dyDescent="0.2">
      <c r="C2214"/>
      <c r="M2214"/>
    </row>
    <row r="2215" spans="3:13" ht="12.75" customHeight="1" x14ac:dyDescent="0.2">
      <c r="C2215"/>
      <c r="M2215"/>
    </row>
    <row r="2216" spans="3:13" ht="12.75" customHeight="1" x14ac:dyDescent="0.2">
      <c r="C2216"/>
      <c r="M2216"/>
    </row>
    <row r="2217" spans="3:13" ht="12.75" customHeight="1" x14ac:dyDescent="0.2">
      <c r="C2217"/>
      <c r="M2217"/>
    </row>
    <row r="2218" spans="3:13" ht="12.75" customHeight="1" x14ac:dyDescent="0.2">
      <c r="C2218"/>
      <c r="M2218"/>
    </row>
    <row r="2219" spans="3:13" ht="12.75" customHeight="1" x14ac:dyDescent="0.2">
      <c r="C2219"/>
      <c r="M2219"/>
    </row>
    <row r="2220" spans="3:13" ht="12.75" customHeight="1" x14ac:dyDescent="0.2">
      <c r="C2220"/>
      <c r="M2220"/>
    </row>
    <row r="2221" spans="3:13" ht="12.75" customHeight="1" x14ac:dyDescent="0.2">
      <c r="C2221"/>
      <c r="M2221"/>
    </row>
    <row r="2222" spans="3:13" ht="12.75" customHeight="1" x14ac:dyDescent="0.2">
      <c r="C2222"/>
      <c r="M2222"/>
    </row>
    <row r="2223" spans="3:13" ht="12.75" customHeight="1" x14ac:dyDescent="0.2">
      <c r="C2223"/>
      <c r="M2223"/>
    </row>
    <row r="2224" spans="3:13" ht="12.75" customHeight="1" x14ac:dyDescent="0.2">
      <c r="C2224"/>
      <c r="M2224"/>
    </row>
    <row r="2225" spans="3:13" ht="12.75" customHeight="1" x14ac:dyDescent="0.2">
      <c r="C2225"/>
      <c r="M2225"/>
    </row>
    <row r="2226" spans="3:13" ht="12.75" customHeight="1" x14ac:dyDescent="0.2">
      <c r="C2226"/>
      <c r="M2226"/>
    </row>
    <row r="2227" spans="3:13" ht="12.75" customHeight="1" x14ac:dyDescent="0.2">
      <c r="C2227"/>
      <c r="M2227"/>
    </row>
    <row r="2228" spans="3:13" ht="12.75" customHeight="1" x14ac:dyDescent="0.2">
      <c r="C2228"/>
      <c r="M2228"/>
    </row>
    <row r="2229" spans="3:13" ht="12.75" customHeight="1" x14ac:dyDescent="0.2">
      <c r="C2229"/>
      <c r="M2229"/>
    </row>
    <row r="2230" spans="3:13" ht="12.75" customHeight="1" x14ac:dyDescent="0.2">
      <c r="C2230"/>
      <c r="M2230"/>
    </row>
    <row r="2231" spans="3:13" ht="12.75" customHeight="1" x14ac:dyDescent="0.2">
      <c r="C2231"/>
      <c r="M2231"/>
    </row>
    <row r="2232" spans="3:13" ht="12.75" customHeight="1" x14ac:dyDescent="0.2">
      <c r="C2232"/>
      <c r="M2232"/>
    </row>
    <row r="2233" spans="3:13" ht="12.75" customHeight="1" x14ac:dyDescent="0.2">
      <c r="C2233"/>
      <c r="M2233"/>
    </row>
    <row r="2234" spans="3:13" ht="12.75" customHeight="1" x14ac:dyDescent="0.2">
      <c r="C2234"/>
      <c r="M2234"/>
    </row>
    <row r="2235" spans="3:13" ht="12.75" customHeight="1" x14ac:dyDescent="0.2">
      <c r="C2235"/>
      <c r="M2235"/>
    </row>
    <row r="2236" spans="3:13" ht="12.75" customHeight="1" x14ac:dyDescent="0.2">
      <c r="C2236"/>
      <c r="M2236"/>
    </row>
    <row r="2237" spans="3:13" ht="12.75" customHeight="1" x14ac:dyDescent="0.2">
      <c r="C2237"/>
      <c r="M2237"/>
    </row>
    <row r="2238" spans="3:13" ht="12.75" customHeight="1" x14ac:dyDescent="0.2">
      <c r="C2238"/>
      <c r="M2238"/>
    </row>
    <row r="2239" spans="3:13" ht="12.75" customHeight="1" x14ac:dyDescent="0.2">
      <c r="C2239"/>
      <c r="M2239"/>
    </row>
    <row r="2240" spans="3:13" ht="12.75" customHeight="1" x14ac:dyDescent="0.2">
      <c r="C2240"/>
      <c r="M2240"/>
    </row>
    <row r="2241" spans="3:13" ht="12.75" customHeight="1" x14ac:dyDescent="0.2">
      <c r="C2241"/>
      <c r="M2241"/>
    </row>
    <row r="2242" spans="3:13" ht="12.75" customHeight="1" x14ac:dyDescent="0.2">
      <c r="C2242"/>
      <c r="M2242"/>
    </row>
    <row r="2243" spans="3:13" ht="12.75" customHeight="1" x14ac:dyDescent="0.2">
      <c r="C2243"/>
      <c r="M2243"/>
    </row>
    <row r="2244" spans="3:13" ht="12.75" customHeight="1" x14ac:dyDescent="0.2">
      <c r="C2244"/>
      <c r="M2244"/>
    </row>
    <row r="2245" spans="3:13" ht="12.75" customHeight="1" x14ac:dyDescent="0.2">
      <c r="C2245"/>
      <c r="M2245"/>
    </row>
    <row r="2246" spans="3:13" ht="12.75" customHeight="1" x14ac:dyDescent="0.2">
      <c r="C2246"/>
      <c r="M2246"/>
    </row>
    <row r="2247" spans="3:13" ht="12.75" customHeight="1" x14ac:dyDescent="0.2">
      <c r="C2247"/>
      <c r="M2247"/>
    </row>
    <row r="2248" spans="3:13" ht="12.75" customHeight="1" x14ac:dyDescent="0.2">
      <c r="C2248"/>
      <c r="M2248"/>
    </row>
    <row r="2249" spans="3:13" ht="12.75" customHeight="1" x14ac:dyDescent="0.2">
      <c r="C2249"/>
      <c r="M2249"/>
    </row>
    <row r="2250" spans="3:13" ht="12.75" customHeight="1" x14ac:dyDescent="0.2">
      <c r="C2250"/>
      <c r="M2250"/>
    </row>
    <row r="2251" spans="3:13" ht="12.75" customHeight="1" x14ac:dyDescent="0.2">
      <c r="C2251"/>
      <c r="M2251"/>
    </row>
    <row r="2252" spans="3:13" ht="12.75" customHeight="1" x14ac:dyDescent="0.2">
      <c r="C2252"/>
      <c r="M2252"/>
    </row>
    <row r="2253" spans="3:13" ht="12.75" customHeight="1" x14ac:dyDescent="0.2">
      <c r="C2253"/>
      <c r="M2253"/>
    </row>
    <row r="2254" spans="3:13" ht="12.75" customHeight="1" x14ac:dyDescent="0.2">
      <c r="C2254"/>
      <c r="M2254"/>
    </row>
    <row r="2255" spans="3:13" ht="12.75" customHeight="1" x14ac:dyDescent="0.2">
      <c r="C2255"/>
      <c r="M2255"/>
    </row>
    <row r="2256" spans="3:13" ht="12.75" customHeight="1" x14ac:dyDescent="0.2">
      <c r="C2256"/>
      <c r="M2256"/>
    </row>
    <row r="2257" spans="3:13" ht="12.75" customHeight="1" x14ac:dyDescent="0.2">
      <c r="C2257"/>
      <c r="M2257"/>
    </row>
    <row r="2258" spans="3:13" ht="12.75" customHeight="1" x14ac:dyDescent="0.2">
      <c r="C2258"/>
      <c r="M2258"/>
    </row>
    <row r="2259" spans="3:13" ht="12.75" customHeight="1" x14ac:dyDescent="0.2">
      <c r="C2259"/>
      <c r="M2259"/>
    </row>
    <row r="2260" spans="3:13" ht="12.75" customHeight="1" x14ac:dyDescent="0.2">
      <c r="C2260"/>
      <c r="M2260"/>
    </row>
    <row r="2261" spans="3:13" ht="12.75" customHeight="1" x14ac:dyDescent="0.2">
      <c r="C2261"/>
      <c r="M2261"/>
    </row>
    <row r="2262" spans="3:13" ht="12.75" customHeight="1" x14ac:dyDescent="0.2">
      <c r="C2262"/>
      <c r="M2262"/>
    </row>
    <row r="2263" spans="3:13" ht="12.75" customHeight="1" x14ac:dyDescent="0.2">
      <c r="C2263"/>
      <c r="M2263"/>
    </row>
    <row r="2264" spans="3:13" ht="12.75" customHeight="1" x14ac:dyDescent="0.2">
      <c r="C2264"/>
      <c r="M2264"/>
    </row>
    <row r="2265" spans="3:13" ht="12.75" customHeight="1" x14ac:dyDescent="0.2">
      <c r="C2265"/>
      <c r="M2265"/>
    </row>
    <row r="2266" spans="3:13" ht="12.75" customHeight="1" x14ac:dyDescent="0.2">
      <c r="C2266"/>
      <c r="M2266"/>
    </row>
    <row r="2267" spans="3:13" ht="12.75" customHeight="1" x14ac:dyDescent="0.2">
      <c r="C2267"/>
      <c r="M2267"/>
    </row>
    <row r="2268" spans="3:13" ht="12.75" customHeight="1" x14ac:dyDescent="0.2">
      <c r="C2268"/>
      <c r="M2268"/>
    </row>
    <row r="2269" spans="3:13" ht="12.75" customHeight="1" x14ac:dyDescent="0.2">
      <c r="C2269"/>
      <c r="M2269"/>
    </row>
    <row r="2270" spans="3:13" ht="12.75" customHeight="1" x14ac:dyDescent="0.2">
      <c r="C2270"/>
      <c r="M2270"/>
    </row>
    <row r="2271" spans="3:13" ht="12.75" customHeight="1" x14ac:dyDescent="0.2">
      <c r="C2271"/>
      <c r="M2271"/>
    </row>
    <row r="2272" spans="3:13" ht="12.75" customHeight="1" x14ac:dyDescent="0.2">
      <c r="C2272"/>
      <c r="M2272"/>
    </row>
    <row r="2273" spans="3:13" ht="12.75" customHeight="1" x14ac:dyDescent="0.2">
      <c r="C2273"/>
      <c r="M2273"/>
    </row>
    <row r="2274" spans="3:13" ht="12.75" customHeight="1" x14ac:dyDescent="0.2">
      <c r="C2274"/>
      <c r="M2274"/>
    </row>
    <row r="2275" spans="3:13" ht="12.75" customHeight="1" x14ac:dyDescent="0.2">
      <c r="C2275"/>
      <c r="M2275"/>
    </row>
    <row r="2276" spans="3:13" ht="12.75" customHeight="1" x14ac:dyDescent="0.2">
      <c r="C2276"/>
      <c r="M2276"/>
    </row>
    <row r="2277" spans="3:13" ht="12.75" customHeight="1" x14ac:dyDescent="0.2">
      <c r="C2277"/>
      <c r="M2277"/>
    </row>
    <row r="2278" spans="3:13" ht="12.75" customHeight="1" x14ac:dyDescent="0.2">
      <c r="C2278"/>
      <c r="M2278"/>
    </row>
    <row r="2279" spans="3:13" ht="12.75" customHeight="1" x14ac:dyDescent="0.2">
      <c r="C2279"/>
      <c r="M2279"/>
    </row>
    <row r="2280" spans="3:13" ht="12.75" customHeight="1" x14ac:dyDescent="0.2">
      <c r="C2280"/>
      <c r="M2280"/>
    </row>
    <row r="2281" spans="3:13" ht="12.75" customHeight="1" x14ac:dyDescent="0.2">
      <c r="C2281"/>
      <c r="M2281"/>
    </row>
    <row r="2282" spans="3:13" ht="12.75" customHeight="1" x14ac:dyDescent="0.2">
      <c r="C2282"/>
      <c r="M2282"/>
    </row>
    <row r="2283" spans="3:13" ht="12.75" customHeight="1" x14ac:dyDescent="0.2">
      <c r="C2283"/>
      <c r="M2283"/>
    </row>
    <row r="2284" spans="3:13" ht="12.75" customHeight="1" x14ac:dyDescent="0.2">
      <c r="C2284"/>
      <c r="M2284"/>
    </row>
    <row r="2285" spans="3:13" ht="12.75" customHeight="1" x14ac:dyDescent="0.2">
      <c r="C2285"/>
      <c r="M2285"/>
    </row>
    <row r="2286" spans="3:13" ht="12.75" customHeight="1" x14ac:dyDescent="0.2">
      <c r="C2286"/>
      <c r="M2286"/>
    </row>
    <row r="2287" spans="3:13" ht="12.75" customHeight="1" x14ac:dyDescent="0.2">
      <c r="C2287"/>
      <c r="M2287"/>
    </row>
    <row r="2288" spans="3:13" ht="12.75" customHeight="1" x14ac:dyDescent="0.2">
      <c r="C2288"/>
      <c r="M2288"/>
    </row>
    <row r="2289" spans="3:13" ht="12.75" customHeight="1" x14ac:dyDescent="0.2">
      <c r="C2289"/>
      <c r="M2289"/>
    </row>
    <row r="2290" spans="3:13" ht="12.75" customHeight="1" x14ac:dyDescent="0.2">
      <c r="C2290"/>
      <c r="M2290"/>
    </row>
    <row r="2291" spans="3:13" ht="12.75" customHeight="1" x14ac:dyDescent="0.2">
      <c r="C2291"/>
      <c r="M2291"/>
    </row>
    <row r="2292" spans="3:13" ht="12.75" customHeight="1" x14ac:dyDescent="0.2">
      <c r="C2292"/>
      <c r="M2292"/>
    </row>
    <row r="2293" spans="3:13" ht="12.75" customHeight="1" x14ac:dyDescent="0.2">
      <c r="C2293"/>
      <c r="M2293"/>
    </row>
    <row r="2294" spans="3:13" ht="12.75" customHeight="1" x14ac:dyDescent="0.2">
      <c r="C2294"/>
      <c r="M2294"/>
    </row>
    <row r="2295" spans="3:13" ht="12.75" customHeight="1" x14ac:dyDescent="0.2">
      <c r="C2295"/>
      <c r="M2295"/>
    </row>
    <row r="2296" spans="3:13" ht="12.75" customHeight="1" x14ac:dyDescent="0.2">
      <c r="C2296"/>
      <c r="M2296"/>
    </row>
    <row r="2297" spans="3:13" ht="12.75" customHeight="1" x14ac:dyDescent="0.2">
      <c r="C2297"/>
      <c r="M2297"/>
    </row>
    <row r="2298" spans="3:13" ht="12.75" customHeight="1" x14ac:dyDescent="0.2">
      <c r="C2298"/>
      <c r="M2298"/>
    </row>
    <row r="2299" spans="3:13" ht="12.75" customHeight="1" x14ac:dyDescent="0.2">
      <c r="C2299"/>
      <c r="M2299"/>
    </row>
    <row r="2300" spans="3:13" ht="12.75" customHeight="1" x14ac:dyDescent="0.2">
      <c r="C2300"/>
      <c r="M2300"/>
    </row>
    <row r="2301" spans="3:13" ht="12.75" customHeight="1" x14ac:dyDescent="0.2">
      <c r="C2301"/>
      <c r="M2301"/>
    </row>
    <row r="2302" spans="3:13" ht="12.75" customHeight="1" x14ac:dyDescent="0.2">
      <c r="C2302"/>
      <c r="M2302"/>
    </row>
    <row r="2303" spans="3:13" ht="12.75" customHeight="1" x14ac:dyDescent="0.2">
      <c r="C2303"/>
      <c r="M2303"/>
    </row>
    <row r="2304" spans="3:13" ht="12.75" customHeight="1" x14ac:dyDescent="0.2">
      <c r="C2304"/>
      <c r="M2304"/>
    </row>
    <row r="2305" spans="3:13" ht="12.75" customHeight="1" x14ac:dyDescent="0.2">
      <c r="C2305"/>
      <c r="M2305"/>
    </row>
    <row r="2306" spans="3:13" ht="12.75" customHeight="1" x14ac:dyDescent="0.2">
      <c r="C2306"/>
      <c r="M2306"/>
    </row>
    <row r="2307" spans="3:13" ht="12.75" customHeight="1" x14ac:dyDescent="0.2">
      <c r="C2307"/>
      <c r="M2307"/>
    </row>
    <row r="2308" spans="3:13" ht="12.75" customHeight="1" x14ac:dyDescent="0.2">
      <c r="C2308"/>
      <c r="M2308"/>
    </row>
    <row r="2309" spans="3:13" ht="12.75" customHeight="1" x14ac:dyDescent="0.2">
      <c r="C2309"/>
      <c r="M2309"/>
    </row>
    <row r="2310" spans="3:13" ht="12.75" customHeight="1" x14ac:dyDescent="0.2">
      <c r="C2310"/>
      <c r="M2310"/>
    </row>
    <row r="2311" spans="3:13" ht="12.75" customHeight="1" x14ac:dyDescent="0.2">
      <c r="C2311"/>
      <c r="M2311"/>
    </row>
    <row r="2312" spans="3:13" ht="12.75" customHeight="1" x14ac:dyDescent="0.2">
      <c r="C2312"/>
      <c r="M2312"/>
    </row>
    <row r="2313" spans="3:13" ht="12.75" customHeight="1" x14ac:dyDescent="0.2">
      <c r="C2313"/>
      <c r="M2313"/>
    </row>
    <row r="2314" spans="3:13" ht="12.75" customHeight="1" x14ac:dyDescent="0.2">
      <c r="C2314"/>
      <c r="M2314"/>
    </row>
    <row r="2315" spans="3:13" ht="12.75" customHeight="1" x14ac:dyDescent="0.2">
      <c r="C2315"/>
      <c r="M2315"/>
    </row>
    <row r="2316" spans="3:13" ht="12.75" customHeight="1" x14ac:dyDescent="0.2">
      <c r="C2316"/>
      <c r="M2316"/>
    </row>
    <row r="2317" spans="3:13" ht="12.75" customHeight="1" x14ac:dyDescent="0.2">
      <c r="C2317"/>
      <c r="M2317"/>
    </row>
    <row r="2318" spans="3:13" ht="12.75" customHeight="1" x14ac:dyDescent="0.2">
      <c r="C2318"/>
      <c r="M2318"/>
    </row>
    <row r="2319" spans="3:13" ht="12.75" customHeight="1" x14ac:dyDescent="0.2">
      <c r="C2319"/>
      <c r="M2319"/>
    </row>
    <row r="2320" spans="3:13" ht="12.75" customHeight="1" x14ac:dyDescent="0.2">
      <c r="C2320"/>
      <c r="M2320"/>
    </row>
    <row r="2321" spans="3:13" ht="12.75" customHeight="1" x14ac:dyDescent="0.2">
      <c r="C2321"/>
      <c r="M2321"/>
    </row>
    <row r="2322" spans="3:13" ht="12.75" customHeight="1" x14ac:dyDescent="0.2">
      <c r="C2322"/>
      <c r="M2322"/>
    </row>
    <row r="2323" spans="3:13" ht="12.75" customHeight="1" x14ac:dyDescent="0.2">
      <c r="C2323"/>
      <c r="M2323"/>
    </row>
    <row r="2324" spans="3:13" ht="12.75" customHeight="1" x14ac:dyDescent="0.2">
      <c r="C2324"/>
      <c r="M2324"/>
    </row>
    <row r="2325" spans="3:13" ht="12.75" customHeight="1" x14ac:dyDescent="0.2">
      <c r="C2325"/>
      <c r="M2325"/>
    </row>
    <row r="2326" spans="3:13" ht="12.75" customHeight="1" x14ac:dyDescent="0.2">
      <c r="C2326"/>
      <c r="M2326"/>
    </row>
    <row r="2327" spans="3:13" ht="12.75" customHeight="1" x14ac:dyDescent="0.2">
      <c r="C2327"/>
      <c r="M2327"/>
    </row>
    <row r="2328" spans="3:13" ht="12.75" customHeight="1" x14ac:dyDescent="0.2">
      <c r="C2328"/>
      <c r="M2328"/>
    </row>
    <row r="2329" spans="3:13" ht="12.75" customHeight="1" x14ac:dyDescent="0.2">
      <c r="C2329"/>
      <c r="M2329"/>
    </row>
    <row r="2330" spans="3:13" ht="12.75" customHeight="1" x14ac:dyDescent="0.2">
      <c r="C2330"/>
      <c r="M2330"/>
    </row>
    <row r="2331" spans="3:13" ht="12.75" customHeight="1" x14ac:dyDescent="0.2">
      <c r="C2331"/>
      <c r="M2331"/>
    </row>
    <row r="2332" spans="3:13" ht="12.75" customHeight="1" x14ac:dyDescent="0.2">
      <c r="C2332"/>
      <c r="M2332"/>
    </row>
    <row r="2333" spans="3:13" ht="12.75" customHeight="1" x14ac:dyDescent="0.2">
      <c r="C2333"/>
      <c r="M2333"/>
    </row>
    <row r="2334" spans="3:13" ht="12.75" customHeight="1" x14ac:dyDescent="0.2">
      <c r="C2334"/>
      <c r="M2334"/>
    </row>
    <row r="2335" spans="3:13" ht="12.75" customHeight="1" x14ac:dyDescent="0.2">
      <c r="C2335"/>
      <c r="M2335"/>
    </row>
    <row r="2336" spans="3:13" ht="12.75" customHeight="1" x14ac:dyDescent="0.2">
      <c r="C2336"/>
      <c r="M2336"/>
    </row>
    <row r="2337" spans="3:13" ht="12.75" customHeight="1" x14ac:dyDescent="0.2">
      <c r="C2337"/>
      <c r="M2337"/>
    </row>
    <row r="2338" spans="3:13" ht="12.75" customHeight="1" x14ac:dyDescent="0.2">
      <c r="C2338"/>
      <c r="M2338"/>
    </row>
    <row r="2339" spans="3:13" ht="12.75" customHeight="1" x14ac:dyDescent="0.2">
      <c r="C2339"/>
      <c r="M2339"/>
    </row>
    <row r="2340" spans="3:13" ht="12.75" customHeight="1" x14ac:dyDescent="0.2">
      <c r="C2340"/>
      <c r="M2340"/>
    </row>
    <row r="2341" spans="3:13" ht="12.75" customHeight="1" x14ac:dyDescent="0.2">
      <c r="C2341"/>
      <c r="M2341"/>
    </row>
    <row r="2342" spans="3:13" ht="12.75" customHeight="1" x14ac:dyDescent="0.2">
      <c r="C2342"/>
      <c r="M2342"/>
    </row>
    <row r="2343" spans="3:13" ht="12.75" customHeight="1" x14ac:dyDescent="0.2">
      <c r="C2343"/>
      <c r="M2343"/>
    </row>
    <row r="2344" spans="3:13" ht="12.75" customHeight="1" x14ac:dyDescent="0.2">
      <c r="C2344"/>
      <c r="M2344"/>
    </row>
    <row r="2345" spans="3:13" ht="12.75" customHeight="1" x14ac:dyDescent="0.2">
      <c r="C2345"/>
      <c r="M2345"/>
    </row>
    <row r="2346" spans="3:13" ht="12.75" customHeight="1" x14ac:dyDescent="0.2">
      <c r="C2346"/>
      <c r="M2346"/>
    </row>
    <row r="2347" spans="3:13" ht="12.75" customHeight="1" x14ac:dyDescent="0.2">
      <c r="C2347"/>
      <c r="M2347"/>
    </row>
    <row r="2348" spans="3:13" ht="12.75" customHeight="1" x14ac:dyDescent="0.2">
      <c r="C2348"/>
      <c r="M2348"/>
    </row>
    <row r="2349" spans="3:13" ht="12.75" customHeight="1" x14ac:dyDescent="0.2">
      <c r="C2349"/>
      <c r="M2349"/>
    </row>
    <row r="2350" spans="3:13" ht="12.75" customHeight="1" x14ac:dyDescent="0.2">
      <c r="C2350"/>
      <c r="M2350"/>
    </row>
    <row r="2351" spans="3:13" ht="12.75" customHeight="1" x14ac:dyDescent="0.2">
      <c r="C2351"/>
      <c r="M2351"/>
    </row>
    <row r="2352" spans="3:13" ht="12.75" customHeight="1" x14ac:dyDescent="0.2">
      <c r="C2352"/>
      <c r="M2352"/>
    </row>
    <row r="2353" spans="3:13" ht="12.75" customHeight="1" x14ac:dyDescent="0.2">
      <c r="C2353"/>
      <c r="M2353"/>
    </row>
    <row r="2354" spans="3:13" ht="12.75" customHeight="1" x14ac:dyDescent="0.2">
      <c r="C2354"/>
      <c r="M2354"/>
    </row>
    <row r="2355" spans="3:13" ht="12.75" customHeight="1" x14ac:dyDescent="0.2">
      <c r="C2355"/>
      <c r="M2355"/>
    </row>
    <row r="2356" spans="3:13" ht="12.75" customHeight="1" x14ac:dyDescent="0.2">
      <c r="C2356"/>
      <c r="M2356"/>
    </row>
    <row r="2357" spans="3:13" ht="12.75" customHeight="1" x14ac:dyDescent="0.2">
      <c r="C2357"/>
      <c r="M2357"/>
    </row>
    <row r="2358" spans="3:13" ht="12.75" customHeight="1" x14ac:dyDescent="0.2">
      <c r="C2358"/>
      <c r="M2358"/>
    </row>
    <row r="2359" spans="3:13" ht="12.75" customHeight="1" x14ac:dyDescent="0.2">
      <c r="C2359"/>
      <c r="M2359"/>
    </row>
    <row r="2360" spans="3:13" ht="12.75" customHeight="1" x14ac:dyDescent="0.2">
      <c r="C2360"/>
      <c r="M2360"/>
    </row>
    <row r="2361" spans="3:13" ht="12.75" customHeight="1" x14ac:dyDescent="0.2">
      <c r="C2361"/>
      <c r="M2361"/>
    </row>
    <row r="2362" spans="3:13" ht="12.75" customHeight="1" x14ac:dyDescent="0.2">
      <c r="C2362"/>
      <c r="M2362"/>
    </row>
    <row r="2363" spans="3:13" ht="12.75" customHeight="1" x14ac:dyDescent="0.2">
      <c r="C2363"/>
      <c r="M2363"/>
    </row>
    <row r="2364" spans="3:13" ht="12.75" customHeight="1" x14ac:dyDescent="0.2">
      <c r="C2364"/>
      <c r="M2364"/>
    </row>
    <row r="2365" spans="3:13" ht="12.75" customHeight="1" x14ac:dyDescent="0.2">
      <c r="C2365"/>
      <c r="M2365"/>
    </row>
    <row r="2366" spans="3:13" ht="12.75" customHeight="1" x14ac:dyDescent="0.2">
      <c r="C2366"/>
      <c r="M2366"/>
    </row>
    <row r="2367" spans="3:13" ht="12.75" customHeight="1" x14ac:dyDescent="0.2">
      <c r="C2367"/>
      <c r="M2367"/>
    </row>
    <row r="2368" spans="3:13" ht="12.75" customHeight="1" x14ac:dyDescent="0.2">
      <c r="C2368"/>
      <c r="M2368"/>
    </row>
    <row r="2369" spans="3:13" ht="12.75" customHeight="1" x14ac:dyDescent="0.2">
      <c r="C2369"/>
      <c r="M2369"/>
    </row>
    <row r="2370" spans="3:13" ht="12.75" customHeight="1" x14ac:dyDescent="0.2">
      <c r="C2370"/>
      <c r="M2370"/>
    </row>
    <row r="2371" spans="3:13" ht="12.75" customHeight="1" x14ac:dyDescent="0.2">
      <c r="C2371"/>
      <c r="M2371"/>
    </row>
    <row r="2372" spans="3:13" ht="12.75" customHeight="1" x14ac:dyDescent="0.2">
      <c r="C2372"/>
      <c r="M2372"/>
    </row>
    <row r="2373" spans="3:13" ht="12.75" customHeight="1" x14ac:dyDescent="0.2">
      <c r="C2373"/>
      <c r="M2373"/>
    </row>
    <row r="2374" spans="3:13" ht="12.75" customHeight="1" x14ac:dyDescent="0.2">
      <c r="C2374"/>
      <c r="M2374"/>
    </row>
    <row r="2375" spans="3:13" ht="12.75" customHeight="1" x14ac:dyDescent="0.2">
      <c r="C2375"/>
      <c r="M2375"/>
    </row>
    <row r="2376" spans="3:13" ht="12.75" customHeight="1" x14ac:dyDescent="0.2">
      <c r="C2376"/>
      <c r="M2376"/>
    </row>
    <row r="2377" spans="3:13" ht="12.75" customHeight="1" x14ac:dyDescent="0.2">
      <c r="C2377"/>
      <c r="M2377"/>
    </row>
    <row r="2378" spans="3:13" ht="12.75" customHeight="1" x14ac:dyDescent="0.2">
      <c r="C2378"/>
      <c r="M2378"/>
    </row>
    <row r="2379" spans="3:13" ht="12.75" customHeight="1" x14ac:dyDescent="0.2">
      <c r="C2379"/>
      <c r="M2379"/>
    </row>
    <row r="2380" spans="3:13" ht="12.75" customHeight="1" x14ac:dyDescent="0.2">
      <c r="C2380"/>
      <c r="M2380"/>
    </row>
    <row r="2381" spans="3:13" ht="12.75" customHeight="1" x14ac:dyDescent="0.2">
      <c r="C2381"/>
      <c r="M2381"/>
    </row>
    <row r="2382" spans="3:13" ht="12.75" customHeight="1" x14ac:dyDescent="0.2">
      <c r="C2382"/>
      <c r="M2382"/>
    </row>
    <row r="2383" spans="3:13" ht="12.75" customHeight="1" x14ac:dyDescent="0.2">
      <c r="C2383"/>
      <c r="M2383"/>
    </row>
    <row r="2384" spans="3:13" ht="12.75" customHeight="1" x14ac:dyDescent="0.2">
      <c r="C2384"/>
      <c r="M2384"/>
    </row>
    <row r="2385" spans="3:13" ht="12.75" customHeight="1" x14ac:dyDescent="0.2">
      <c r="C2385"/>
      <c r="M2385"/>
    </row>
    <row r="2386" spans="3:13" ht="12.75" customHeight="1" x14ac:dyDescent="0.2">
      <c r="C2386"/>
      <c r="M2386"/>
    </row>
    <row r="2387" spans="3:13" ht="12.75" customHeight="1" x14ac:dyDescent="0.2">
      <c r="C2387"/>
      <c r="M2387"/>
    </row>
    <row r="2388" spans="3:13" ht="12.75" customHeight="1" x14ac:dyDescent="0.2">
      <c r="C2388"/>
      <c r="M2388"/>
    </row>
    <row r="2389" spans="3:13" ht="12.75" customHeight="1" x14ac:dyDescent="0.2">
      <c r="C2389"/>
      <c r="M2389"/>
    </row>
    <row r="2390" spans="3:13" ht="12.75" customHeight="1" x14ac:dyDescent="0.2">
      <c r="C2390"/>
      <c r="M2390"/>
    </row>
    <row r="2391" spans="3:13" ht="12.75" customHeight="1" x14ac:dyDescent="0.2">
      <c r="C2391"/>
      <c r="M2391"/>
    </row>
    <row r="2392" spans="3:13" ht="12.75" customHeight="1" x14ac:dyDescent="0.2">
      <c r="C2392"/>
      <c r="M2392"/>
    </row>
    <row r="2393" spans="3:13" ht="12.75" customHeight="1" x14ac:dyDescent="0.2">
      <c r="C2393"/>
      <c r="M2393"/>
    </row>
    <row r="2394" spans="3:13" ht="12.75" customHeight="1" x14ac:dyDescent="0.2">
      <c r="C2394"/>
      <c r="M2394"/>
    </row>
    <row r="2395" spans="3:13" ht="12.75" customHeight="1" x14ac:dyDescent="0.2">
      <c r="C2395"/>
      <c r="M2395"/>
    </row>
    <row r="2396" spans="3:13" ht="12.75" customHeight="1" x14ac:dyDescent="0.2">
      <c r="C2396"/>
      <c r="M2396"/>
    </row>
    <row r="2397" spans="3:13" ht="12.75" customHeight="1" x14ac:dyDescent="0.2">
      <c r="C2397"/>
      <c r="M2397"/>
    </row>
    <row r="2398" spans="3:13" ht="12.75" customHeight="1" x14ac:dyDescent="0.2">
      <c r="C2398"/>
      <c r="M2398"/>
    </row>
    <row r="2399" spans="3:13" ht="12.75" customHeight="1" x14ac:dyDescent="0.2">
      <c r="C2399"/>
      <c r="M2399"/>
    </row>
    <row r="2400" spans="3:13" ht="12.75" customHeight="1" x14ac:dyDescent="0.2">
      <c r="C2400"/>
      <c r="M2400"/>
    </row>
    <row r="2401" spans="3:13" ht="12.75" customHeight="1" x14ac:dyDescent="0.2">
      <c r="C2401"/>
      <c r="M2401"/>
    </row>
    <row r="2402" spans="3:13" ht="12.75" customHeight="1" x14ac:dyDescent="0.2">
      <c r="C2402"/>
      <c r="M2402"/>
    </row>
    <row r="2403" spans="3:13" ht="12.75" customHeight="1" x14ac:dyDescent="0.2">
      <c r="C2403"/>
      <c r="M2403"/>
    </row>
    <row r="2404" spans="3:13" ht="12.75" customHeight="1" x14ac:dyDescent="0.2">
      <c r="C2404"/>
      <c r="M2404"/>
    </row>
    <row r="2405" spans="3:13" ht="12.75" customHeight="1" x14ac:dyDescent="0.2">
      <c r="C2405"/>
      <c r="M2405"/>
    </row>
    <row r="2406" spans="3:13" ht="12.75" customHeight="1" x14ac:dyDescent="0.2">
      <c r="C2406"/>
      <c r="M2406"/>
    </row>
    <row r="2407" spans="3:13" ht="12.75" customHeight="1" x14ac:dyDescent="0.2">
      <c r="C2407"/>
      <c r="M2407"/>
    </row>
    <row r="2408" spans="3:13" ht="12.75" customHeight="1" x14ac:dyDescent="0.2">
      <c r="C2408"/>
      <c r="M2408"/>
    </row>
    <row r="2409" spans="3:13" ht="12.75" customHeight="1" x14ac:dyDescent="0.2">
      <c r="C2409"/>
      <c r="M2409"/>
    </row>
    <row r="2410" spans="3:13" ht="12.75" customHeight="1" x14ac:dyDescent="0.2">
      <c r="C2410"/>
      <c r="M2410"/>
    </row>
    <row r="2411" spans="3:13" ht="12.75" customHeight="1" x14ac:dyDescent="0.2">
      <c r="C2411"/>
      <c r="M2411"/>
    </row>
    <row r="2412" spans="3:13" ht="12.75" customHeight="1" x14ac:dyDescent="0.2">
      <c r="C2412"/>
      <c r="M2412"/>
    </row>
    <row r="2413" spans="3:13" ht="12.75" customHeight="1" x14ac:dyDescent="0.2">
      <c r="C2413"/>
      <c r="M2413"/>
    </row>
    <row r="2414" spans="3:13" ht="12.75" customHeight="1" x14ac:dyDescent="0.2">
      <c r="C2414"/>
      <c r="M2414"/>
    </row>
    <row r="2415" spans="3:13" ht="12.75" customHeight="1" x14ac:dyDescent="0.2">
      <c r="C2415"/>
      <c r="M2415"/>
    </row>
    <row r="2416" spans="3:13" ht="12.75" customHeight="1" x14ac:dyDescent="0.2">
      <c r="C2416"/>
      <c r="M2416"/>
    </row>
    <row r="2417" spans="3:13" ht="12.75" customHeight="1" x14ac:dyDescent="0.2">
      <c r="C2417"/>
      <c r="M2417"/>
    </row>
    <row r="2418" spans="3:13" ht="12.75" customHeight="1" x14ac:dyDescent="0.2">
      <c r="C2418"/>
      <c r="M2418"/>
    </row>
    <row r="2419" spans="3:13" ht="12.75" customHeight="1" x14ac:dyDescent="0.2">
      <c r="C2419"/>
      <c r="M2419"/>
    </row>
    <row r="2420" spans="3:13" ht="12.75" customHeight="1" x14ac:dyDescent="0.2">
      <c r="C2420"/>
      <c r="M2420"/>
    </row>
    <row r="2421" spans="3:13" ht="12.75" customHeight="1" x14ac:dyDescent="0.2">
      <c r="C2421"/>
      <c r="M2421"/>
    </row>
    <row r="2422" spans="3:13" ht="12.75" customHeight="1" x14ac:dyDescent="0.2">
      <c r="C2422"/>
      <c r="M2422"/>
    </row>
    <row r="2423" spans="3:13" ht="12.75" customHeight="1" x14ac:dyDescent="0.2">
      <c r="C2423"/>
      <c r="M2423"/>
    </row>
    <row r="2424" spans="3:13" ht="12.75" customHeight="1" x14ac:dyDescent="0.2">
      <c r="C2424"/>
      <c r="M2424"/>
    </row>
    <row r="2425" spans="3:13" ht="12.75" customHeight="1" x14ac:dyDescent="0.2">
      <c r="C2425"/>
      <c r="M2425"/>
    </row>
    <row r="2426" spans="3:13" ht="12.75" customHeight="1" x14ac:dyDescent="0.2">
      <c r="C2426"/>
      <c r="M2426"/>
    </row>
    <row r="2427" spans="3:13" ht="12.75" customHeight="1" x14ac:dyDescent="0.2">
      <c r="C2427"/>
      <c r="M2427"/>
    </row>
    <row r="2428" spans="3:13" ht="12.75" customHeight="1" x14ac:dyDescent="0.2">
      <c r="C2428"/>
      <c r="M2428"/>
    </row>
    <row r="2429" spans="3:13" ht="12.75" customHeight="1" x14ac:dyDescent="0.2">
      <c r="C2429"/>
      <c r="M2429"/>
    </row>
    <row r="2430" spans="3:13" ht="12.75" customHeight="1" x14ac:dyDescent="0.2">
      <c r="C2430"/>
      <c r="M2430"/>
    </row>
    <row r="2431" spans="3:13" ht="12.75" customHeight="1" x14ac:dyDescent="0.2">
      <c r="C2431"/>
      <c r="M2431"/>
    </row>
    <row r="2432" spans="3:13" ht="12.75" customHeight="1" x14ac:dyDescent="0.2">
      <c r="C2432"/>
      <c r="M2432"/>
    </row>
    <row r="2433" spans="3:13" ht="12.75" customHeight="1" x14ac:dyDescent="0.2">
      <c r="C2433"/>
      <c r="M2433"/>
    </row>
    <row r="2434" spans="3:13" ht="12.75" customHeight="1" x14ac:dyDescent="0.2">
      <c r="C2434"/>
      <c r="M2434"/>
    </row>
    <row r="2435" spans="3:13" ht="12.75" customHeight="1" x14ac:dyDescent="0.2">
      <c r="C2435"/>
      <c r="M2435"/>
    </row>
    <row r="2436" spans="3:13" ht="12.75" customHeight="1" x14ac:dyDescent="0.2">
      <c r="C2436"/>
      <c r="M2436"/>
    </row>
    <row r="2437" spans="3:13" ht="12.75" customHeight="1" x14ac:dyDescent="0.2">
      <c r="C2437"/>
      <c r="M2437"/>
    </row>
    <row r="2438" spans="3:13" ht="12.75" customHeight="1" x14ac:dyDescent="0.2">
      <c r="C2438"/>
      <c r="M2438"/>
    </row>
    <row r="2439" spans="3:13" ht="12.75" customHeight="1" x14ac:dyDescent="0.2">
      <c r="C2439"/>
      <c r="M2439"/>
    </row>
    <row r="2440" spans="3:13" ht="12.75" customHeight="1" x14ac:dyDescent="0.2">
      <c r="C2440"/>
      <c r="M2440"/>
    </row>
    <row r="2441" spans="3:13" ht="12.75" customHeight="1" x14ac:dyDescent="0.2">
      <c r="C2441"/>
      <c r="M2441"/>
    </row>
    <row r="2442" spans="3:13" ht="12.75" customHeight="1" x14ac:dyDescent="0.2">
      <c r="C2442"/>
      <c r="M2442"/>
    </row>
    <row r="2443" spans="3:13" ht="12.75" customHeight="1" x14ac:dyDescent="0.2">
      <c r="C2443"/>
      <c r="M2443"/>
    </row>
    <row r="2444" spans="3:13" ht="12.75" customHeight="1" x14ac:dyDescent="0.2">
      <c r="C2444"/>
      <c r="M2444"/>
    </row>
    <row r="2445" spans="3:13" ht="12.75" customHeight="1" x14ac:dyDescent="0.2">
      <c r="C2445"/>
      <c r="M2445"/>
    </row>
    <row r="2446" spans="3:13" ht="12.75" customHeight="1" x14ac:dyDescent="0.2">
      <c r="C2446"/>
      <c r="M2446"/>
    </row>
    <row r="2447" spans="3:13" ht="12.75" customHeight="1" x14ac:dyDescent="0.2">
      <c r="C2447"/>
      <c r="M2447"/>
    </row>
    <row r="2448" spans="3:13" ht="12.75" customHeight="1" x14ac:dyDescent="0.2">
      <c r="C2448"/>
      <c r="M2448"/>
    </row>
    <row r="2449" spans="3:13" ht="12.75" customHeight="1" x14ac:dyDescent="0.2">
      <c r="C2449"/>
      <c r="M2449"/>
    </row>
    <row r="2450" spans="3:13" ht="12.75" customHeight="1" x14ac:dyDescent="0.2">
      <c r="C2450"/>
      <c r="M2450"/>
    </row>
    <row r="2451" spans="3:13" ht="12.75" customHeight="1" x14ac:dyDescent="0.2">
      <c r="C2451"/>
      <c r="M2451"/>
    </row>
    <row r="2452" spans="3:13" ht="12.75" customHeight="1" x14ac:dyDescent="0.2">
      <c r="C2452"/>
      <c r="M2452"/>
    </row>
    <row r="2453" spans="3:13" ht="12.75" customHeight="1" x14ac:dyDescent="0.2">
      <c r="C2453"/>
      <c r="M2453"/>
    </row>
    <row r="2454" spans="3:13" ht="12.75" customHeight="1" x14ac:dyDescent="0.2">
      <c r="C2454"/>
      <c r="M2454"/>
    </row>
    <row r="2455" spans="3:13" ht="12.75" customHeight="1" x14ac:dyDescent="0.2">
      <c r="C2455"/>
      <c r="M2455"/>
    </row>
    <row r="2456" spans="3:13" ht="12.75" customHeight="1" x14ac:dyDescent="0.2">
      <c r="C2456"/>
      <c r="M2456"/>
    </row>
    <row r="2457" spans="3:13" ht="12.75" customHeight="1" x14ac:dyDescent="0.2">
      <c r="C2457"/>
      <c r="M2457"/>
    </row>
    <row r="2458" spans="3:13" ht="12.75" customHeight="1" x14ac:dyDescent="0.2">
      <c r="C2458"/>
      <c r="M2458"/>
    </row>
    <row r="2459" spans="3:13" ht="12.75" customHeight="1" x14ac:dyDescent="0.2">
      <c r="C2459"/>
      <c r="M2459"/>
    </row>
    <row r="2460" spans="3:13" ht="12.75" customHeight="1" x14ac:dyDescent="0.2">
      <c r="C2460"/>
      <c r="M2460"/>
    </row>
    <row r="2461" spans="3:13" ht="12.75" customHeight="1" x14ac:dyDescent="0.2">
      <c r="C2461"/>
      <c r="M2461"/>
    </row>
    <row r="2462" spans="3:13" ht="12.75" customHeight="1" x14ac:dyDescent="0.2">
      <c r="C2462"/>
      <c r="M2462"/>
    </row>
    <row r="2463" spans="3:13" ht="12.75" customHeight="1" x14ac:dyDescent="0.2">
      <c r="C2463"/>
      <c r="M2463"/>
    </row>
    <row r="2464" spans="3:13" ht="12.75" customHeight="1" x14ac:dyDescent="0.2">
      <c r="C2464"/>
      <c r="M2464"/>
    </row>
    <row r="2465" spans="3:13" ht="12.75" customHeight="1" x14ac:dyDescent="0.2">
      <c r="C2465"/>
      <c r="M2465"/>
    </row>
    <row r="2466" spans="3:13" ht="12.75" customHeight="1" x14ac:dyDescent="0.2">
      <c r="C2466"/>
      <c r="M2466"/>
    </row>
    <row r="2467" spans="3:13" ht="12.75" customHeight="1" x14ac:dyDescent="0.2">
      <c r="C2467"/>
      <c r="M2467"/>
    </row>
    <row r="2468" spans="3:13" ht="12.75" customHeight="1" x14ac:dyDescent="0.2">
      <c r="C2468"/>
      <c r="M2468"/>
    </row>
    <row r="2469" spans="3:13" ht="12.75" customHeight="1" x14ac:dyDescent="0.2">
      <c r="C2469"/>
      <c r="M2469"/>
    </row>
    <row r="2470" spans="3:13" ht="12.75" customHeight="1" x14ac:dyDescent="0.2">
      <c r="C2470"/>
      <c r="M2470"/>
    </row>
    <row r="2471" spans="3:13" ht="12.75" customHeight="1" x14ac:dyDescent="0.2">
      <c r="C2471"/>
      <c r="M2471"/>
    </row>
    <row r="2472" spans="3:13" ht="12.75" customHeight="1" x14ac:dyDescent="0.2">
      <c r="C2472"/>
      <c r="M2472"/>
    </row>
    <row r="2473" spans="3:13" ht="12.75" customHeight="1" x14ac:dyDescent="0.2">
      <c r="C2473"/>
      <c r="M2473"/>
    </row>
    <row r="2474" spans="3:13" ht="12.75" customHeight="1" x14ac:dyDescent="0.2">
      <c r="C2474"/>
      <c r="M2474"/>
    </row>
    <row r="2475" spans="3:13" ht="12.75" customHeight="1" x14ac:dyDescent="0.2">
      <c r="C2475"/>
      <c r="M2475"/>
    </row>
    <row r="2476" spans="3:13" ht="12.75" customHeight="1" x14ac:dyDescent="0.2">
      <c r="C2476"/>
      <c r="M2476"/>
    </row>
    <row r="2477" spans="3:13" ht="12.75" customHeight="1" x14ac:dyDescent="0.2">
      <c r="C2477"/>
      <c r="M2477"/>
    </row>
    <row r="2478" spans="3:13" ht="12.75" customHeight="1" x14ac:dyDescent="0.2">
      <c r="C2478"/>
      <c r="M2478"/>
    </row>
    <row r="2479" spans="3:13" ht="12.75" customHeight="1" x14ac:dyDescent="0.2">
      <c r="C2479"/>
      <c r="M2479"/>
    </row>
    <row r="2480" spans="3:13" ht="12.75" customHeight="1" x14ac:dyDescent="0.2">
      <c r="C2480"/>
      <c r="M2480"/>
    </row>
    <row r="2481" spans="3:13" ht="12.75" customHeight="1" x14ac:dyDescent="0.2">
      <c r="C2481"/>
      <c r="M2481"/>
    </row>
    <row r="2482" spans="3:13" ht="12.75" customHeight="1" x14ac:dyDescent="0.2">
      <c r="C2482"/>
      <c r="M2482"/>
    </row>
    <row r="2483" spans="3:13" ht="12.75" customHeight="1" x14ac:dyDescent="0.2">
      <c r="C2483"/>
      <c r="M2483"/>
    </row>
    <row r="2484" spans="3:13" ht="12.75" customHeight="1" x14ac:dyDescent="0.2">
      <c r="C2484"/>
      <c r="M2484"/>
    </row>
    <row r="2485" spans="3:13" ht="12.75" customHeight="1" x14ac:dyDescent="0.2">
      <c r="C2485"/>
      <c r="M2485"/>
    </row>
    <row r="2486" spans="3:13" ht="12.75" customHeight="1" x14ac:dyDescent="0.2">
      <c r="C2486"/>
      <c r="M2486"/>
    </row>
    <row r="2487" spans="3:13" ht="12.75" customHeight="1" x14ac:dyDescent="0.2">
      <c r="C2487"/>
      <c r="M2487"/>
    </row>
    <row r="2488" spans="3:13" ht="12.75" customHeight="1" x14ac:dyDescent="0.2">
      <c r="C2488"/>
      <c r="M2488"/>
    </row>
    <row r="2489" spans="3:13" ht="12.75" customHeight="1" x14ac:dyDescent="0.2">
      <c r="C2489"/>
      <c r="M2489"/>
    </row>
    <row r="2490" spans="3:13" ht="12.75" customHeight="1" x14ac:dyDescent="0.2">
      <c r="C2490"/>
      <c r="M2490"/>
    </row>
    <row r="2491" spans="3:13" ht="12.75" customHeight="1" x14ac:dyDescent="0.2">
      <c r="C2491"/>
      <c r="M2491"/>
    </row>
    <row r="2492" spans="3:13" ht="12.75" customHeight="1" x14ac:dyDescent="0.2">
      <c r="C2492"/>
      <c r="M2492"/>
    </row>
    <row r="2493" spans="3:13" ht="12.75" customHeight="1" x14ac:dyDescent="0.2">
      <c r="C2493"/>
      <c r="M2493"/>
    </row>
    <row r="2494" spans="3:13" ht="12.75" customHeight="1" x14ac:dyDescent="0.2">
      <c r="C2494"/>
      <c r="M2494"/>
    </row>
    <row r="2495" spans="3:13" ht="12.75" customHeight="1" x14ac:dyDescent="0.2">
      <c r="C2495"/>
      <c r="M2495"/>
    </row>
    <row r="2496" spans="3:13" ht="12.75" customHeight="1" x14ac:dyDescent="0.2">
      <c r="C2496"/>
      <c r="M2496"/>
    </row>
    <row r="2497" spans="3:13" ht="12.75" customHeight="1" x14ac:dyDescent="0.2">
      <c r="C2497"/>
      <c r="M2497"/>
    </row>
    <row r="2498" spans="3:13" ht="12.75" customHeight="1" x14ac:dyDescent="0.2">
      <c r="C2498"/>
      <c r="M2498"/>
    </row>
    <row r="2499" spans="3:13" ht="12.75" customHeight="1" x14ac:dyDescent="0.2">
      <c r="C2499"/>
      <c r="M2499"/>
    </row>
    <row r="2500" spans="3:13" ht="12.75" customHeight="1" x14ac:dyDescent="0.2">
      <c r="C2500"/>
      <c r="M2500"/>
    </row>
    <row r="2501" spans="3:13" ht="12.75" customHeight="1" x14ac:dyDescent="0.2">
      <c r="C2501"/>
      <c r="M2501"/>
    </row>
    <row r="2502" spans="3:13" ht="12.75" customHeight="1" x14ac:dyDescent="0.2">
      <c r="C2502"/>
      <c r="M2502"/>
    </row>
    <row r="2503" spans="3:13" ht="12.75" customHeight="1" x14ac:dyDescent="0.2">
      <c r="C2503"/>
      <c r="M2503"/>
    </row>
    <row r="2504" spans="3:13" ht="12.75" customHeight="1" x14ac:dyDescent="0.2">
      <c r="C2504"/>
      <c r="M2504"/>
    </row>
    <row r="2505" spans="3:13" ht="12.75" customHeight="1" x14ac:dyDescent="0.2">
      <c r="C2505"/>
      <c r="M2505"/>
    </row>
    <row r="2506" spans="3:13" ht="12.75" customHeight="1" x14ac:dyDescent="0.2">
      <c r="C2506"/>
      <c r="M2506"/>
    </row>
    <row r="2507" spans="3:13" ht="12.75" customHeight="1" x14ac:dyDescent="0.2">
      <c r="C2507"/>
      <c r="M2507"/>
    </row>
    <row r="2508" spans="3:13" ht="12.75" customHeight="1" x14ac:dyDescent="0.2">
      <c r="C2508"/>
      <c r="M2508"/>
    </row>
    <row r="2509" spans="3:13" ht="12.75" customHeight="1" x14ac:dyDescent="0.2">
      <c r="C2509"/>
      <c r="M2509"/>
    </row>
    <row r="2510" spans="3:13" ht="12.75" customHeight="1" x14ac:dyDescent="0.2">
      <c r="C2510"/>
      <c r="M2510"/>
    </row>
    <row r="2511" spans="3:13" ht="12.75" customHeight="1" x14ac:dyDescent="0.2">
      <c r="C2511"/>
      <c r="M2511"/>
    </row>
    <row r="2512" spans="3:13" ht="12.75" customHeight="1" x14ac:dyDescent="0.2">
      <c r="C2512"/>
      <c r="M2512"/>
    </row>
    <row r="2513" spans="3:13" ht="12.75" customHeight="1" x14ac:dyDescent="0.2">
      <c r="C2513"/>
      <c r="M2513"/>
    </row>
    <row r="2514" spans="3:13" ht="12.75" customHeight="1" x14ac:dyDescent="0.2">
      <c r="C2514"/>
      <c r="M2514"/>
    </row>
    <row r="2515" spans="3:13" ht="12.75" customHeight="1" x14ac:dyDescent="0.2">
      <c r="C2515"/>
      <c r="M2515"/>
    </row>
    <row r="2516" spans="3:13" ht="12.75" customHeight="1" x14ac:dyDescent="0.2">
      <c r="C2516"/>
      <c r="M2516"/>
    </row>
    <row r="2517" spans="3:13" ht="12.75" customHeight="1" x14ac:dyDescent="0.2">
      <c r="C2517"/>
      <c r="M2517"/>
    </row>
    <row r="2518" spans="3:13" ht="12.75" customHeight="1" x14ac:dyDescent="0.2">
      <c r="C2518"/>
      <c r="M2518"/>
    </row>
    <row r="2519" spans="3:13" ht="12.75" customHeight="1" x14ac:dyDescent="0.2">
      <c r="C2519"/>
      <c r="M2519"/>
    </row>
    <row r="2520" spans="3:13" ht="12.75" customHeight="1" x14ac:dyDescent="0.2">
      <c r="C2520"/>
      <c r="M2520"/>
    </row>
    <row r="2521" spans="3:13" ht="12.75" customHeight="1" x14ac:dyDescent="0.2">
      <c r="C2521"/>
      <c r="M2521"/>
    </row>
    <row r="2522" spans="3:13" ht="12.75" customHeight="1" x14ac:dyDescent="0.2">
      <c r="C2522"/>
      <c r="M2522"/>
    </row>
    <row r="2523" spans="3:13" ht="12.75" customHeight="1" x14ac:dyDescent="0.2">
      <c r="C2523"/>
      <c r="M2523"/>
    </row>
    <row r="2524" spans="3:13" ht="12.75" customHeight="1" x14ac:dyDescent="0.2">
      <c r="C2524"/>
      <c r="M2524"/>
    </row>
    <row r="2525" spans="3:13" ht="12.75" customHeight="1" x14ac:dyDescent="0.2">
      <c r="C2525"/>
      <c r="M2525"/>
    </row>
    <row r="2526" spans="3:13" ht="12.75" customHeight="1" x14ac:dyDescent="0.2">
      <c r="C2526"/>
      <c r="M2526"/>
    </row>
    <row r="2527" spans="3:13" ht="12.75" customHeight="1" x14ac:dyDescent="0.2">
      <c r="C2527"/>
      <c r="M2527"/>
    </row>
    <row r="2528" spans="3:13" ht="12.75" customHeight="1" x14ac:dyDescent="0.2">
      <c r="C2528"/>
      <c r="M2528"/>
    </row>
    <row r="2529" spans="3:13" ht="12.75" customHeight="1" x14ac:dyDescent="0.2">
      <c r="C2529"/>
      <c r="M2529"/>
    </row>
    <row r="2530" spans="3:13" ht="12.75" customHeight="1" x14ac:dyDescent="0.2">
      <c r="C2530"/>
      <c r="M2530"/>
    </row>
    <row r="2531" spans="3:13" ht="12.75" customHeight="1" x14ac:dyDescent="0.2">
      <c r="C2531"/>
      <c r="M2531"/>
    </row>
    <row r="2532" spans="3:13" ht="12.75" customHeight="1" x14ac:dyDescent="0.2">
      <c r="C2532"/>
      <c r="M2532"/>
    </row>
    <row r="2533" spans="3:13" ht="12.75" customHeight="1" x14ac:dyDescent="0.2">
      <c r="C2533"/>
      <c r="M2533"/>
    </row>
    <row r="2534" spans="3:13" ht="12.75" customHeight="1" x14ac:dyDescent="0.2">
      <c r="C2534"/>
      <c r="M2534"/>
    </row>
    <row r="2535" spans="3:13" ht="12.75" customHeight="1" x14ac:dyDescent="0.2">
      <c r="C2535"/>
      <c r="M2535"/>
    </row>
    <row r="2536" spans="3:13" ht="12.75" customHeight="1" x14ac:dyDescent="0.2">
      <c r="C2536"/>
      <c r="M2536"/>
    </row>
    <row r="2537" spans="3:13" ht="12.75" customHeight="1" x14ac:dyDescent="0.2">
      <c r="C2537"/>
      <c r="M2537"/>
    </row>
    <row r="2538" spans="3:13" ht="12.75" customHeight="1" x14ac:dyDescent="0.2">
      <c r="C2538"/>
      <c r="M2538"/>
    </row>
    <row r="2539" spans="3:13" ht="12.75" customHeight="1" x14ac:dyDescent="0.2">
      <c r="C2539"/>
      <c r="M2539"/>
    </row>
    <row r="2540" spans="3:13" ht="12.75" customHeight="1" x14ac:dyDescent="0.2">
      <c r="C2540"/>
      <c r="M2540"/>
    </row>
    <row r="2541" spans="3:13" ht="12.75" customHeight="1" x14ac:dyDescent="0.2">
      <c r="C2541"/>
      <c r="M2541"/>
    </row>
    <row r="2542" spans="3:13" ht="12.75" customHeight="1" x14ac:dyDescent="0.2">
      <c r="C2542"/>
      <c r="M2542"/>
    </row>
    <row r="2543" spans="3:13" ht="12.75" customHeight="1" x14ac:dyDescent="0.2">
      <c r="C2543"/>
      <c r="M2543"/>
    </row>
    <row r="2544" spans="3:13" ht="12.75" customHeight="1" x14ac:dyDescent="0.2">
      <c r="C2544"/>
      <c r="M2544"/>
    </row>
    <row r="2545" spans="3:13" ht="12.75" customHeight="1" x14ac:dyDescent="0.2">
      <c r="C2545"/>
      <c r="M2545"/>
    </row>
    <row r="2546" spans="3:13" ht="12.75" customHeight="1" x14ac:dyDescent="0.2">
      <c r="C2546"/>
      <c r="M2546"/>
    </row>
    <row r="2547" spans="3:13" ht="12.75" customHeight="1" x14ac:dyDescent="0.2">
      <c r="C2547"/>
      <c r="M2547"/>
    </row>
    <row r="2548" spans="3:13" ht="12.75" customHeight="1" x14ac:dyDescent="0.2">
      <c r="C2548"/>
      <c r="M2548"/>
    </row>
    <row r="2549" spans="3:13" ht="12.75" customHeight="1" x14ac:dyDescent="0.2">
      <c r="C2549"/>
      <c r="M2549"/>
    </row>
    <row r="2550" spans="3:13" ht="12.75" customHeight="1" x14ac:dyDescent="0.2">
      <c r="C2550"/>
      <c r="M2550"/>
    </row>
    <row r="2551" spans="3:13" ht="12.75" customHeight="1" x14ac:dyDescent="0.2">
      <c r="C2551"/>
      <c r="M2551"/>
    </row>
    <row r="2552" spans="3:13" ht="12.75" customHeight="1" x14ac:dyDescent="0.2">
      <c r="C2552"/>
      <c r="M2552"/>
    </row>
    <row r="2553" spans="3:13" ht="12.75" customHeight="1" x14ac:dyDescent="0.2">
      <c r="C2553"/>
      <c r="M2553"/>
    </row>
    <row r="2554" spans="3:13" ht="12.75" customHeight="1" x14ac:dyDescent="0.2">
      <c r="C2554"/>
      <c r="M2554"/>
    </row>
    <row r="2555" spans="3:13" ht="12.75" customHeight="1" x14ac:dyDescent="0.2">
      <c r="C2555"/>
      <c r="M2555"/>
    </row>
    <row r="2556" spans="3:13" ht="12.75" customHeight="1" x14ac:dyDescent="0.2">
      <c r="C2556"/>
      <c r="M2556"/>
    </row>
    <row r="2557" spans="3:13" ht="12.75" customHeight="1" x14ac:dyDescent="0.2">
      <c r="C2557"/>
      <c r="M2557"/>
    </row>
    <row r="2558" spans="3:13" ht="12.75" customHeight="1" x14ac:dyDescent="0.2">
      <c r="C2558"/>
      <c r="M2558"/>
    </row>
    <row r="2559" spans="3:13" ht="12.75" customHeight="1" x14ac:dyDescent="0.2">
      <c r="C2559"/>
      <c r="M2559"/>
    </row>
    <row r="2560" spans="3:13" ht="12.75" customHeight="1" x14ac:dyDescent="0.2">
      <c r="C2560"/>
      <c r="M2560"/>
    </row>
    <row r="2561" spans="3:13" ht="12.75" customHeight="1" x14ac:dyDescent="0.2">
      <c r="C2561"/>
      <c r="M2561"/>
    </row>
    <row r="2562" spans="3:13" ht="12.75" customHeight="1" x14ac:dyDescent="0.2">
      <c r="C2562"/>
      <c r="M2562"/>
    </row>
    <row r="2563" spans="3:13" ht="12.75" customHeight="1" x14ac:dyDescent="0.2">
      <c r="C2563"/>
      <c r="M2563"/>
    </row>
    <row r="2564" spans="3:13" ht="12.75" customHeight="1" x14ac:dyDescent="0.2">
      <c r="C2564"/>
      <c r="M2564"/>
    </row>
    <row r="2565" spans="3:13" ht="12.75" customHeight="1" x14ac:dyDescent="0.2">
      <c r="C2565"/>
      <c r="M2565"/>
    </row>
    <row r="2566" spans="3:13" ht="12.75" customHeight="1" x14ac:dyDescent="0.2">
      <c r="C2566"/>
      <c r="M2566"/>
    </row>
    <row r="2567" spans="3:13" ht="12.75" customHeight="1" x14ac:dyDescent="0.2">
      <c r="C2567"/>
      <c r="M2567"/>
    </row>
    <row r="2568" spans="3:13" ht="12.75" customHeight="1" x14ac:dyDescent="0.2">
      <c r="C2568"/>
      <c r="M2568"/>
    </row>
    <row r="2569" spans="3:13" ht="12.75" customHeight="1" x14ac:dyDescent="0.2">
      <c r="C2569"/>
      <c r="M2569"/>
    </row>
    <row r="2570" spans="3:13" ht="12.75" customHeight="1" x14ac:dyDescent="0.2">
      <c r="C2570"/>
      <c r="M2570"/>
    </row>
    <row r="2571" spans="3:13" ht="12.75" customHeight="1" x14ac:dyDescent="0.2">
      <c r="C2571"/>
      <c r="M2571"/>
    </row>
    <row r="2572" spans="3:13" ht="12.75" customHeight="1" x14ac:dyDescent="0.2">
      <c r="C2572"/>
      <c r="M2572"/>
    </row>
    <row r="2573" spans="3:13" ht="12.75" customHeight="1" x14ac:dyDescent="0.2">
      <c r="C2573"/>
      <c r="M2573"/>
    </row>
    <row r="2574" spans="3:13" ht="12.75" customHeight="1" x14ac:dyDescent="0.2">
      <c r="C2574"/>
      <c r="M2574"/>
    </row>
    <row r="2575" spans="3:13" ht="12.75" customHeight="1" x14ac:dyDescent="0.2">
      <c r="C2575"/>
      <c r="M2575"/>
    </row>
    <row r="2576" spans="3:13" ht="12.75" customHeight="1" x14ac:dyDescent="0.2">
      <c r="C2576"/>
      <c r="M2576"/>
    </row>
    <row r="2577" spans="3:13" ht="12.75" customHeight="1" x14ac:dyDescent="0.2">
      <c r="C2577"/>
      <c r="M2577"/>
    </row>
    <row r="2578" spans="3:13" ht="12.75" customHeight="1" x14ac:dyDescent="0.2">
      <c r="C2578"/>
      <c r="M2578"/>
    </row>
    <row r="2579" spans="3:13" ht="12.75" customHeight="1" x14ac:dyDescent="0.2">
      <c r="C2579"/>
      <c r="M2579"/>
    </row>
    <row r="2580" spans="3:13" ht="12.75" customHeight="1" x14ac:dyDescent="0.2">
      <c r="C2580"/>
      <c r="M2580"/>
    </row>
    <row r="2581" spans="3:13" ht="12.75" customHeight="1" x14ac:dyDescent="0.2">
      <c r="C2581"/>
      <c r="M2581"/>
    </row>
    <row r="2582" spans="3:13" ht="12.75" customHeight="1" x14ac:dyDescent="0.2">
      <c r="C2582"/>
      <c r="M2582"/>
    </row>
    <row r="2583" spans="3:13" ht="12.75" customHeight="1" x14ac:dyDescent="0.2">
      <c r="C2583"/>
      <c r="M2583"/>
    </row>
    <row r="2584" spans="3:13" ht="12.75" customHeight="1" x14ac:dyDescent="0.2">
      <c r="C2584"/>
      <c r="M2584"/>
    </row>
    <row r="2585" spans="3:13" ht="12.75" customHeight="1" x14ac:dyDescent="0.2">
      <c r="C2585"/>
      <c r="M2585"/>
    </row>
    <row r="2586" spans="3:13" ht="12.75" customHeight="1" x14ac:dyDescent="0.2">
      <c r="C2586"/>
      <c r="M2586"/>
    </row>
    <row r="2587" spans="3:13" ht="12.75" customHeight="1" x14ac:dyDescent="0.2">
      <c r="C2587"/>
      <c r="M2587"/>
    </row>
    <row r="2588" spans="3:13" ht="12.75" customHeight="1" x14ac:dyDescent="0.2">
      <c r="C2588"/>
      <c r="M2588"/>
    </row>
    <row r="2589" spans="3:13" ht="12.75" customHeight="1" x14ac:dyDescent="0.2">
      <c r="C2589"/>
      <c r="M2589"/>
    </row>
    <row r="2590" spans="3:13" ht="12.75" customHeight="1" x14ac:dyDescent="0.2">
      <c r="C2590"/>
      <c r="M2590"/>
    </row>
    <row r="2591" spans="3:13" ht="12.75" customHeight="1" x14ac:dyDescent="0.2">
      <c r="C2591"/>
      <c r="M2591"/>
    </row>
    <row r="2592" spans="3:13" ht="12.75" customHeight="1" x14ac:dyDescent="0.2">
      <c r="C2592"/>
      <c r="M2592"/>
    </row>
    <row r="2593" spans="3:13" ht="12.75" customHeight="1" x14ac:dyDescent="0.2">
      <c r="C2593"/>
      <c r="M2593"/>
    </row>
    <row r="2594" spans="3:13" ht="12.75" customHeight="1" x14ac:dyDescent="0.2">
      <c r="C2594"/>
      <c r="M2594"/>
    </row>
    <row r="2595" spans="3:13" ht="12.75" customHeight="1" x14ac:dyDescent="0.2">
      <c r="C2595"/>
      <c r="M2595"/>
    </row>
    <row r="2596" spans="3:13" ht="12.75" customHeight="1" x14ac:dyDescent="0.2">
      <c r="C2596"/>
      <c r="M2596"/>
    </row>
    <row r="2597" spans="3:13" ht="12.75" customHeight="1" x14ac:dyDescent="0.2">
      <c r="C2597"/>
      <c r="M2597"/>
    </row>
    <row r="2598" spans="3:13" ht="12.75" customHeight="1" x14ac:dyDescent="0.2">
      <c r="C2598"/>
      <c r="M2598"/>
    </row>
    <row r="2599" spans="3:13" ht="12.75" customHeight="1" x14ac:dyDescent="0.2">
      <c r="C2599"/>
      <c r="M2599"/>
    </row>
    <row r="2600" spans="3:13" ht="12.75" customHeight="1" x14ac:dyDescent="0.2">
      <c r="C2600"/>
      <c r="M2600"/>
    </row>
    <row r="2601" spans="3:13" ht="12.75" customHeight="1" x14ac:dyDescent="0.2">
      <c r="C2601"/>
      <c r="M2601"/>
    </row>
    <row r="2602" spans="3:13" ht="12.75" customHeight="1" x14ac:dyDescent="0.2">
      <c r="C2602"/>
      <c r="M2602"/>
    </row>
    <row r="2603" spans="3:13" ht="12.75" customHeight="1" x14ac:dyDescent="0.2">
      <c r="C2603"/>
      <c r="M2603"/>
    </row>
    <row r="2604" spans="3:13" ht="12.75" customHeight="1" x14ac:dyDescent="0.2">
      <c r="C2604"/>
      <c r="M2604"/>
    </row>
    <row r="2605" spans="3:13" ht="12.75" customHeight="1" x14ac:dyDescent="0.2">
      <c r="C2605"/>
      <c r="M2605"/>
    </row>
    <row r="2606" spans="3:13" ht="12.75" customHeight="1" x14ac:dyDescent="0.2">
      <c r="C2606"/>
      <c r="M2606"/>
    </row>
    <row r="2607" spans="3:13" ht="12.75" customHeight="1" x14ac:dyDescent="0.2">
      <c r="C2607"/>
      <c r="M2607"/>
    </row>
    <row r="2608" spans="3:13" ht="12.75" customHeight="1" x14ac:dyDescent="0.2">
      <c r="C2608"/>
      <c r="M2608"/>
    </row>
    <row r="2609" spans="3:13" ht="12.75" customHeight="1" x14ac:dyDescent="0.2">
      <c r="C2609"/>
      <c r="M2609"/>
    </row>
    <row r="2610" spans="3:13" ht="12.75" customHeight="1" x14ac:dyDescent="0.2">
      <c r="C2610"/>
      <c r="M2610"/>
    </row>
    <row r="2611" spans="3:13" ht="12.75" customHeight="1" x14ac:dyDescent="0.2">
      <c r="C2611"/>
      <c r="M2611"/>
    </row>
    <row r="2612" spans="3:13" ht="12.75" customHeight="1" x14ac:dyDescent="0.2">
      <c r="C2612"/>
      <c r="M2612"/>
    </row>
    <row r="2613" spans="3:13" ht="12.75" customHeight="1" x14ac:dyDescent="0.2">
      <c r="C2613"/>
      <c r="M2613"/>
    </row>
    <row r="2614" spans="3:13" ht="12.75" customHeight="1" x14ac:dyDescent="0.2">
      <c r="C2614"/>
      <c r="M2614"/>
    </row>
    <row r="2615" spans="3:13" ht="12.75" customHeight="1" x14ac:dyDescent="0.2">
      <c r="C2615"/>
      <c r="M2615"/>
    </row>
    <row r="2616" spans="3:13" ht="12.75" customHeight="1" x14ac:dyDescent="0.2">
      <c r="C2616"/>
      <c r="M2616"/>
    </row>
    <row r="2617" spans="3:13" ht="12.75" customHeight="1" x14ac:dyDescent="0.2">
      <c r="C2617"/>
      <c r="M2617"/>
    </row>
    <row r="2618" spans="3:13" ht="12.75" customHeight="1" x14ac:dyDescent="0.2">
      <c r="C2618"/>
      <c r="M2618"/>
    </row>
    <row r="2619" spans="3:13" ht="12.75" customHeight="1" x14ac:dyDescent="0.2">
      <c r="C2619"/>
      <c r="M2619"/>
    </row>
    <row r="2620" spans="3:13" ht="12.75" customHeight="1" x14ac:dyDescent="0.2">
      <c r="C2620"/>
      <c r="M2620"/>
    </row>
    <row r="2621" spans="3:13" ht="12.75" customHeight="1" x14ac:dyDescent="0.2">
      <c r="C2621"/>
      <c r="M2621"/>
    </row>
    <row r="2622" spans="3:13" ht="12.75" customHeight="1" x14ac:dyDescent="0.2">
      <c r="C2622"/>
      <c r="M2622"/>
    </row>
    <row r="2623" spans="3:13" ht="12.75" customHeight="1" x14ac:dyDescent="0.2">
      <c r="C2623"/>
      <c r="M2623"/>
    </row>
    <row r="2624" spans="3:13" ht="12.75" customHeight="1" x14ac:dyDescent="0.2">
      <c r="C2624"/>
      <c r="M2624"/>
    </row>
    <row r="2625" spans="3:13" ht="12.75" customHeight="1" x14ac:dyDescent="0.2">
      <c r="C2625"/>
      <c r="M2625"/>
    </row>
    <row r="2626" spans="3:13" ht="12.75" customHeight="1" x14ac:dyDescent="0.2">
      <c r="C2626"/>
      <c r="M2626"/>
    </row>
    <row r="2627" spans="3:13" ht="12.75" customHeight="1" x14ac:dyDescent="0.2">
      <c r="C2627"/>
      <c r="M2627"/>
    </row>
    <row r="2628" spans="3:13" ht="12.75" customHeight="1" x14ac:dyDescent="0.2">
      <c r="C2628"/>
      <c r="M2628"/>
    </row>
    <row r="2629" spans="3:13" ht="12.75" customHeight="1" x14ac:dyDescent="0.2">
      <c r="C2629"/>
      <c r="M2629"/>
    </row>
    <row r="2630" spans="3:13" ht="12.75" customHeight="1" x14ac:dyDescent="0.2">
      <c r="C2630"/>
      <c r="M2630"/>
    </row>
    <row r="2631" spans="3:13" ht="12.75" customHeight="1" x14ac:dyDescent="0.2">
      <c r="C2631"/>
      <c r="M2631"/>
    </row>
    <row r="2632" spans="3:13" ht="12.75" customHeight="1" x14ac:dyDescent="0.2">
      <c r="C2632"/>
      <c r="M2632"/>
    </row>
    <row r="2633" spans="3:13" ht="12.75" customHeight="1" x14ac:dyDescent="0.2">
      <c r="C2633"/>
      <c r="M2633"/>
    </row>
    <row r="2634" spans="3:13" ht="12.75" customHeight="1" x14ac:dyDescent="0.2">
      <c r="C2634"/>
      <c r="M2634"/>
    </row>
    <row r="2635" spans="3:13" ht="12.75" customHeight="1" x14ac:dyDescent="0.2">
      <c r="C2635"/>
      <c r="M2635"/>
    </row>
    <row r="2636" spans="3:13" ht="12.75" customHeight="1" x14ac:dyDescent="0.2">
      <c r="C2636"/>
      <c r="M2636"/>
    </row>
    <row r="2637" spans="3:13" ht="12.75" customHeight="1" x14ac:dyDescent="0.2">
      <c r="C2637"/>
      <c r="M2637"/>
    </row>
    <row r="2638" spans="3:13" ht="12.75" customHeight="1" x14ac:dyDescent="0.2">
      <c r="C2638"/>
      <c r="M2638"/>
    </row>
    <row r="2639" spans="3:13" ht="12.75" customHeight="1" x14ac:dyDescent="0.2">
      <c r="C2639"/>
      <c r="M2639"/>
    </row>
    <row r="2640" spans="3:13" ht="12.75" customHeight="1" x14ac:dyDescent="0.2">
      <c r="C2640"/>
      <c r="M2640"/>
    </row>
    <row r="2641" spans="3:13" ht="12.75" customHeight="1" x14ac:dyDescent="0.2">
      <c r="C2641"/>
      <c r="M2641"/>
    </row>
    <row r="2642" spans="3:13" ht="12.75" customHeight="1" x14ac:dyDescent="0.2">
      <c r="C2642"/>
      <c r="M2642"/>
    </row>
    <row r="2643" spans="3:13" ht="12.75" customHeight="1" x14ac:dyDescent="0.2">
      <c r="C2643"/>
      <c r="M2643"/>
    </row>
    <row r="2644" spans="3:13" ht="12.75" customHeight="1" x14ac:dyDescent="0.2">
      <c r="C2644"/>
      <c r="M2644"/>
    </row>
    <row r="2645" spans="3:13" ht="12.75" customHeight="1" x14ac:dyDescent="0.2">
      <c r="C2645"/>
      <c r="M2645"/>
    </row>
    <row r="2646" spans="3:13" ht="12.75" customHeight="1" x14ac:dyDescent="0.2">
      <c r="C2646"/>
      <c r="M2646"/>
    </row>
    <row r="2647" spans="3:13" ht="12.75" customHeight="1" x14ac:dyDescent="0.2">
      <c r="C2647"/>
      <c r="M2647"/>
    </row>
    <row r="2648" spans="3:13" ht="12.75" customHeight="1" x14ac:dyDescent="0.2">
      <c r="C2648"/>
      <c r="M2648"/>
    </row>
    <row r="2649" spans="3:13" ht="12.75" customHeight="1" x14ac:dyDescent="0.2">
      <c r="C2649"/>
      <c r="M2649"/>
    </row>
    <row r="2650" spans="3:13" ht="12.75" customHeight="1" x14ac:dyDescent="0.2">
      <c r="C2650"/>
      <c r="M2650"/>
    </row>
    <row r="2651" spans="3:13" ht="12.75" customHeight="1" x14ac:dyDescent="0.2">
      <c r="C2651"/>
      <c r="M2651"/>
    </row>
    <row r="2652" spans="3:13" ht="12.75" customHeight="1" x14ac:dyDescent="0.2">
      <c r="C2652"/>
      <c r="M2652"/>
    </row>
    <row r="2653" spans="3:13" ht="12.75" customHeight="1" x14ac:dyDescent="0.2">
      <c r="C2653"/>
      <c r="M2653"/>
    </row>
    <row r="2654" spans="3:13" ht="12.75" customHeight="1" x14ac:dyDescent="0.2">
      <c r="C2654"/>
      <c r="M2654"/>
    </row>
    <row r="2655" spans="3:13" ht="12.75" customHeight="1" x14ac:dyDescent="0.2">
      <c r="C2655"/>
      <c r="M2655"/>
    </row>
    <row r="2656" spans="3:13" ht="12.75" customHeight="1" x14ac:dyDescent="0.2">
      <c r="C2656"/>
      <c r="M2656"/>
    </row>
    <row r="2657" spans="3:13" ht="12.75" customHeight="1" x14ac:dyDescent="0.2">
      <c r="C2657"/>
      <c r="M2657"/>
    </row>
    <row r="2658" spans="3:13" ht="12.75" customHeight="1" x14ac:dyDescent="0.2">
      <c r="C2658"/>
      <c r="M2658"/>
    </row>
    <row r="2659" spans="3:13" ht="12.75" customHeight="1" x14ac:dyDescent="0.2">
      <c r="C2659"/>
      <c r="M2659"/>
    </row>
    <row r="2660" spans="3:13" ht="12.75" customHeight="1" x14ac:dyDescent="0.2">
      <c r="C2660"/>
      <c r="M2660"/>
    </row>
    <row r="2661" spans="3:13" ht="12.75" customHeight="1" x14ac:dyDescent="0.2">
      <c r="C2661"/>
      <c r="M2661"/>
    </row>
    <row r="2662" spans="3:13" ht="12.75" customHeight="1" x14ac:dyDescent="0.2">
      <c r="C2662"/>
      <c r="M2662"/>
    </row>
    <row r="2663" spans="3:13" ht="12.75" customHeight="1" x14ac:dyDescent="0.2">
      <c r="C2663"/>
      <c r="M2663"/>
    </row>
    <row r="2664" spans="3:13" ht="12.75" customHeight="1" x14ac:dyDescent="0.2">
      <c r="C2664"/>
      <c r="M2664"/>
    </row>
    <row r="2665" spans="3:13" ht="12.75" customHeight="1" x14ac:dyDescent="0.2">
      <c r="C2665"/>
      <c r="M2665"/>
    </row>
    <row r="2666" spans="3:13" ht="12.75" customHeight="1" x14ac:dyDescent="0.2">
      <c r="C2666"/>
      <c r="M2666"/>
    </row>
    <row r="2667" spans="3:13" ht="12.75" customHeight="1" x14ac:dyDescent="0.2">
      <c r="C2667"/>
      <c r="M2667"/>
    </row>
    <row r="2668" spans="3:13" ht="12.75" customHeight="1" x14ac:dyDescent="0.2">
      <c r="C2668"/>
      <c r="M2668"/>
    </row>
    <row r="2669" spans="3:13" ht="12.75" customHeight="1" x14ac:dyDescent="0.2">
      <c r="C2669"/>
      <c r="M2669"/>
    </row>
    <row r="2670" spans="3:13" ht="12.75" customHeight="1" x14ac:dyDescent="0.2">
      <c r="C2670"/>
      <c r="M2670"/>
    </row>
    <row r="2671" spans="3:13" ht="12.75" customHeight="1" x14ac:dyDescent="0.2">
      <c r="C2671"/>
      <c r="M2671"/>
    </row>
    <row r="2672" spans="3:13" ht="12.75" customHeight="1" x14ac:dyDescent="0.2">
      <c r="C2672"/>
      <c r="M2672"/>
    </row>
    <row r="2673" spans="3:13" ht="12.75" customHeight="1" x14ac:dyDescent="0.2">
      <c r="C2673"/>
      <c r="M2673"/>
    </row>
    <row r="2674" spans="3:13" ht="12.75" customHeight="1" x14ac:dyDescent="0.2">
      <c r="C2674"/>
      <c r="M2674"/>
    </row>
    <row r="2675" spans="3:13" ht="12.75" customHeight="1" x14ac:dyDescent="0.2">
      <c r="C2675"/>
      <c r="M2675"/>
    </row>
    <row r="2676" spans="3:13" ht="12.75" customHeight="1" x14ac:dyDescent="0.2">
      <c r="C2676"/>
      <c r="M2676"/>
    </row>
    <row r="2677" spans="3:13" ht="12.75" customHeight="1" x14ac:dyDescent="0.2">
      <c r="C2677"/>
      <c r="M2677"/>
    </row>
    <row r="2678" spans="3:13" ht="12.75" customHeight="1" x14ac:dyDescent="0.2">
      <c r="C2678"/>
      <c r="M2678"/>
    </row>
    <row r="2679" spans="3:13" ht="12.75" customHeight="1" x14ac:dyDescent="0.2">
      <c r="C2679"/>
      <c r="M2679"/>
    </row>
    <row r="2680" spans="3:13" ht="12.75" customHeight="1" x14ac:dyDescent="0.2">
      <c r="C2680"/>
      <c r="M2680"/>
    </row>
    <row r="2681" spans="3:13" ht="12.75" customHeight="1" x14ac:dyDescent="0.2">
      <c r="C2681"/>
      <c r="M2681"/>
    </row>
    <row r="2682" spans="3:13" ht="12.75" customHeight="1" x14ac:dyDescent="0.2">
      <c r="C2682"/>
      <c r="M2682"/>
    </row>
    <row r="2683" spans="3:13" ht="12.75" customHeight="1" x14ac:dyDescent="0.2">
      <c r="C2683"/>
      <c r="M2683"/>
    </row>
    <row r="2684" spans="3:13" ht="12.75" customHeight="1" x14ac:dyDescent="0.2">
      <c r="C2684"/>
      <c r="M2684"/>
    </row>
    <row r="2685" spans="3:13" ht="12.75" customHeight="1" x14ac:dyDescent="0.2">
      <c r="C2685"/>
      <c r="M2685"/>
    </row>
    <row r="2686" spans="3:13" ht="12.75" customHeight="1" x14ac:dyDescent="0.2">
      <c r="C2686"/>
      <c r="M2686"/>
    </row>
    <row r="2687" spans="3:13" ht="12.75" customHeight="1" x14ac:dyDescent="0.2">
      <c r="C2687"/>
      <c r="M2687"/>
    </row>
    <row r="2688" spans="3:13" ht="12.75" customHeight="1" x14ac:dyDescent="0.2">
      <c r="C2688"/>
      <c r="M2688"/>
    </row>
    <row r="2689" spans="3:13" ht="12.75" customHeight="1" x14ac:dyDescent="0.2">
      <c r="C2689"/>
      <c r="M2689"/>
    </row>
    <row r="2690" spans="3:13" ht="12.75" customHeight="1" x14ac:dyDescent="0.2">
      <c r="C2690"/>
      <c r="M2690"/>
    </row>
    <row r="2691" spans="3:13" ht="12.75" customHeight="1" x14ac:dyDescent="0.2">
      <c r="C2691"/>
      <c r="M2691"/>
    </row>
    <row r="2692" spans="3:13" ht="12.75" customHeight="1" x14ac:dyDescent="0.2">
      <c r="C2692"/>
      <c r="M2692"/>
    </row>
    <row r="2693" spans="3:13" ht="12.75" customHeight="1" x14ac:dyDescent="0.2">
      <c r="C2693"/>
      <c r="M2693"/>
    </row>
    <row r="2694" spans="3:13" ht="12.75" customHeight="1" x14ac:dyDescent="0.2">
      <c r="C2694"/>
      <c r="M2694"/>
    </row>
    <row r="2695" spans="3:13" ht="12.75" customHeight="1" x14ac:dyDescent="0.2">
      <c r="C2695"/>
      <c r="M2695"/>
    </row>
    <row r="2696" spans="3:13" ht="12.75" customHeight="1" x14ac:dyDescent="0.2">
      <c r="C2696"/>
      <c r="M2696"/>
    </row>
    <row r="2697" spans="3:13" ht="12.75" customHeight="1" x14ac:dyDescent="0.2">
      <c r="C2697"/>
      <c r="M2697"/>
    </row>
    <row r="2698" spans="3:13" ht="12.75" customHeight="1" x14ac:dyDescent="0.2">
      <c r="C2698"/>
      <c r="M2698"/>
    </row>
    <row r="2699" spans="3:13" ht="12.75" customHeight="1" x14ac:dyDescent="0.2">
      <c r="C2699"/>
      <c r="M2699"/>
    </row>
    <row r="2700" spans="3:13" ht="12.75" customHeight="1" x14ac:dyDescent="0.2">
      <c r="C2700"/>
      <c r="M2700"/>
    </row>
    <row r="2701" spans="3:13" ht="12.75" customHeight="1" x14ac:dyDescent="0.2">
      <c r="C2701"/>
      <c r="M2701"/>
    </row>
    <row r="2702" spans="3:13" ht="12.75" customHeight="1" x14ac:dyDescent="0.2">
      <c r="C2702"/>
      <c r="M2702"/>
    </row>
    <row r="2703" spans="3:13" ht="12.75" customHeight="1" x14ac:dyDescent="0.2">
      <c r="C2703"/>
      <c r="M2703"/>
    </row>
    <row r="2704" spans="3:13" ht="12.75" customHeight="1" x14ac:dyDescent="0.2">
      <c r="C2704"/>
      <c r="M2704"/>
    </row>
    <row r="2705" spans="3:13" ht="12.75" customHeight="1" x14ac:dyDescent="0.2">
      <c r="C2705"/>
      <c r="M2705"/>
    </row>
    <row r="2706" spans="3:13" ht="12.75" customHeight="1" x14ac:dyDescent="0.2">
      <c r="C2706"/>
      <c r="M2706"/>
    </row>
    <row r="2707" spans="3:13" ht="12.75" customHeight="1" x14ac:dyDescent="0.2">
      <c r="C2707"/>
      <c r="M2707"/>
    </row>
    <row r="2708" spans="3:13" ht="12.75" customHeight="1" x14ac:dyDescent="0.2">
      <c r="C2708"/>
      <c r="M2708"/>
    </row>
    <row r="2709" spans="3:13" ht="12.75" customHeight="1" x14ac:dyDescent="0.2">
      <c r="C2709"/>
      <c r="M2709"/>
    </row>
    <row r="2710" spans="3:13" ht="12.75" customHeight="1" x14ac:dyDescent="0.2">
      <c r="C2710"/>
      <c r="M2710"/>
    </row>
    <row r="2711" spans="3:13" ht="12.75" customHeight="1" x14ac:dyDescent="0.2">
      <c r="C2711"/>
      <c r="M2711"/>
    </row>
    <row r="2712" spans="3:13" ht="12.75" customHeight="1" x14ac:dyDescent="0.2">
      <c r="C2712"/>
      <c r="M2712"/>
    </row>
    <row r="2713" spans="3:13" ht="12.75" customHeight="1" x14ac:dyDescent="0.2">
      <c r="C2713"/>
      <c r="M2713"/>
    </row>
    <row r="2714" spans="3:13" ht="12.75" customHeight="1" x14ac:dyDescent="0.2">
      <c r="C2714"/>
      <c r="M2714"/>
    </row>
    <row r="2715" spans="3:13" ht="12.75" customHeight="1" x14ac:dyDescent="0.2">
      <c r="C2715"/>
      <c r="M2715"/>
    </row>
    <row r="2716" spans="3:13" ht="12.75" customHeight="1" x14ac:dyDescent="0.2">
      <c r="C2716"/>
      <c r="M2716"/>
    </row>
    <row r="2717" spans="3:13" ht="12.75" customHeight="1" x14ac:dyDescent="0.2">
      <c r="C2717"/>
      <c r="M2717"/>
    </row>
    <row r="2718" spans="3:13" ht="12.75" customHeight="1" x14ac:dyDescent="0.2">
      <c r="C2718"/>
      <c r="M2718"/>
    </row>
    <row r="2719" spans="3:13" ht="12.75" customHeight="1" x14ac:dyDescent="0.2">
      <c r="C2719"/>
      <c r="M2719"/>
    </row>
    <row r="2720" spans="3:13" ht="12.75" customHeight="1" x14ac:dyDescent="0.2">
      <c r="C2720"/>
      <c r="M2720"/>
    </row>
    <row r="2721" spans="3:13" ht="12.75" customHeight="1" x14ac:dyDescent="0.2">
      <c r="C2721"/>
      <c r="M2721"/>
    </row>
    <row r="2722" spans="3:13" ht="12.75" customHeight="1" x14ac:dyDescent="0.2">
      <c r="C2722"/>
      <c r="M2722"/>
    </row>
    <row r="2723" spans="3:13" ht="12.75" customHeight="1" x14ac:dyDescent="0.2">
      <c r="C2723"/>
      <c r="M2723"/>
    </row>
    <row r="2724" spans="3:13" ht="12.75" customHeight="1" x14ac:dyDescent="0.2">
      <c r="C2724"/>
      <c r="M2724"/>
    </row>
    <row r="2725" spans="3:13" ht="12.75" customHeight="1" x14ac:dyDescent="0.2">
      <c r="C2725"/>
      <c r="M2725"/>
    </row>
    <row r="2726" spans="3:13" ht="12.75" customHeight="1" x14ac:dyDescent="0.2">
      <c r="C2726"/>
      <c r="M2726"/>
    </row>
    <row r="2727" spans="3:13" ht="12.75" customHeight="1" x14ac:dyDescent="0.2">
      <c r="C2727"/>
      <c r="M2727"/>
    </row>
    <row r="2728" spans="3:13" ht="12.75" customHeight="1" x14ac:dyDescent="0.2">
      <c r="C2728"/>
      <c r="M2728"/>
    </row>
    <row r="2729" spans="3:13" ht="12.75" customHeight="1" x14ac:dyDescent="0.2">
      <c r="C2729"/>
      <c r="M2729"/>
    </row>
    <row r="2730" spans="3:13" ht="12.75" customHeight="1" x14ac:dyDescent="0.2">
      <c r="C2730"/>
      <c r="M2730"/>
    </row>
    <row r="2731" spans="3:13" ht="12.75" customHeight="1" x14ac:dyDescent="0.2">
      <c r="C2731"/>
      <c r="M2731"/>
    </row>
    <row r="2732" spans="3:13" ht="12.75" customHeight="1" x14ac:dyDescent="0.2">
      <c r="C2732"/>
      <c r="M2732"/>
    </row>
    <row r="2733" spans="3:13" ht="12.75" customHeight="1" x14ac:dyDescent="0.2">
      <c r="C2733"/>
      <c r="M2733"/>
    </row>
    <row r="2734" spans="3:13" ht="12.75" customHeight="1" x14ac:dyDescent="0.2">
      <c r="C2734"/>
      <c r="M2734"/>
    </row>
    <row r="2735" spans="3:13" ht="12.75" customHeight="1" x14ac:dyDescent="0.2">
      <c r="C2735"/>
      <c r="M2735"/>
    </row>
    <row r="2736" spans="3:13" ht="12.75" customHeight="1" x14ac:dyDescent="0.2">
      <c r="C2736"/>
      <c r="M2736"/>
    </row>
    <row r="2737" spans="3:13" ht="12.75" customHeight="1" x14ac:dyDescent="0.2">
      <c r="C2737"/>
      <c r="M2737"/>
    </row>
    <row r="2738" spans="3:13" ht="12.75" customHeight="1" x14ac:dyDescent="0.2">
      <c r="C2738"/>
      <c r="M2738"/>
    </row>
    <row r="2739" spans="3:13" ht="12.75" customHeight="1" x14ac:dyDescent="0.2">
      <c r="C2739"/>
      <c r="M2739"/>
    </row>
    <row r="2740" spans="3:13" ht="12.75" customHeight="1" x14ac:dyDescent="0.2">
      <c r="C2740"/>
      <c r="M2740"/>
    </row>
    <row r="2741" spans="3:13" ht="12.75" customHeight="1" x14ac:dyDescent="0.2">
      <c r="C2741"/>
      <c r="M2741"/>
    </row>
    <row r="2742" spans="3:13" ht="12.75" customHeight="1" x14ac:dyDescent="0.2">
      <c r="C2742"/>
      <c r="M2742"/>
    </row>
    <row r="2743" spans="3:13" ht="12.75" customHeight="1" x14ac:dyDescent="0.2">
      <c r="C2743"/>
      <c r="M2743"/>
    </row>
    <row r="2744" spans="3:13" ht="12.75" customHeight="1" x14ac:dyDescent="0.2">
      <c r="C2744"/>
      <c r="M2744"/>
    </row>
    <row r="2745" spans="3:13" ht="12.75" customHeight="1" x14ac:dyDescent="0.2">
      <c r="C2745"/>
      <c r="M2745"/>
    </row>
    <row r="2746" spans="3:13" ht="12.75" customHeight="1" x14ac:dyDescent="0.2">
      <c r="C2746"/>
      <c r="M2746"/>
    </row>
    <row r="2747" spans="3:13" ht="12.75" customHeight="1" x14ac:dyDescent="0.2">
      <c r="C2747"/>
      <c r="M2747"/>
    </row>
    <row r="2748" spans="3:13" ht="12.75" customHeight="1" x14ac:dyDescent="0.2">
      <c r="C2748"/>
      <c r="M2748"/>
    </row>
    <row r="2749" spans="3:13" ht="12.75" customHeight="1" x14ac:dyDescent="0.2">
      <c r="C2749"/>
      <c r="M2749"/>
    </row>
    <row r="2750" spans="3:13" ht="12.75" customHeight="1" x14ac:dyDescent="0.2">
      <c r="C2750"/>
      <c r="M2750"/>
    </row>
    <row r="2751" spans="3:13" ht="12.75" customHeight="1" x14ac:dyDescent="0.2">
      <c r="C2751"/>
      <c r="M2751"/>
    </row>
    <row r="2752" spans="3:13" ht="12.75" customHeight="1" x14ac:dyDescent="0.2">
      <c r="C2752"/>
      <c r="M2752"/>
    </row>
    <row r="2753" spans="3:13" ht="12.75" customHeight="1" x14ac:dyDescent="0.2">
      <c r="C2753"/>
      <c r="M2753"/>
    </row>
    <row r="2754" spans="3:13" ht="12.75" customHeight="1" x14ac:dyDescent="0.2">
      <c r="C2754"/>
      <c r="M2754"/>
    </row>
    <row r="2755" spans="3:13" ht="12.75" customHeight="1" x14ac:dyDescent="0.2">
      <c r="C2755"/>
      <c r="M2755"/>
    </row>
    <row r="2756" spans="3:13" ht="12.75" customHeight="1" x14ac:dyDescent="0.2">
      <c r="C2756"/>
      <c r="M2756"/>
    </row>
    <row r="2757" spans="3:13" ht="12.75" customHeight="1" x14ac:dyDescent="0.2">
      <c r="C2757"/>
      <c r="M2757"/>
    </row>
    <row r="2758" spans="3:13" ht="12.75" customHeight="1" x14ac:dyDescent="0.2">
      <c r="C2758"/>
      <c r="M2758"/>
    </row>
    <row r="2759" spans="3:13" ht="12.75" customHeight="1" x14ac:dyDescent="0.2">
      <c r="C2759"/>
      <c r="M2759"/>
    </row>
    <row r="2760" spans="3:13" ht="12.75" customHeight="1" x14ac:dyDescent="0.2">
      <c r="C2760"/>
      <c r="M2760"/>
    </row>
    <row r="2761" spans="3:13" ht="12.75" customHeight="1" x14ac:dyDescent="0.2">
      <c r="C2761"/>
      <c r="M2761"/>
    </row>
    <row r="2762" spans="3:13" ht="12.75" customHeight="1" x14ac:dyDescent="0.2">
      <c r="C2762"/>
      <c r="M2762"/>
    </row>
    <row r="2763" spans="3:13" ht="12.75" customHeight="1" x14ac:dyDescent="0.2">
      <c r="C2763"/>
      <c r="M2763"/>
    </row>
    <row r="2764" spans="3:13" ht="12.75" customHeight="1" x14ac:dyDescent="0.2">
      <c r="C2764"/>
      <c r="M2764"/>
    </row>
    <row r="2765" spans="3:13" ht="12.75" customHeight="1" x14ac:dyDescent="0.2">
      <c r="C2765"/>
      <c r="M2765"/>
    </row>
    <row r="2766" spans="3:13" ht="12.75" customHeight="1" x14ac:dyDescent="0.2">
      <c r="C2766"/>
      <c r="M2766"/>
    </row>
    <row r="2767" spans="3:13" ht="12.75" customHeight="1" x14ac:dyDescent="0.2">
      <c r="C2767"/>
      <c r="M2767"/>
    </row>
    <row r="2768" spans="3:13" ht="12.75" customHeight="1" x14ac:dyDescent="0.2">
      <c r="C2768"/>
      <c r="M2768"/>
    </row>
    <row r="2769" spans="3:13" ht="12.75" customHeight="1" x14ac:dyDescent="0.2">
      <c r="C2769"/>
      <c r="M2769"/>
    </row>
    <row r="2770" spans="3:13" ht="12.75" customHeight="1" x14ac:dyDescent="0.2">
      <c r="C2770"/>
      <c r="M2770"/>
    </row>
    <row r="2771" spans="3:13" ht="12.75" customHeight="1" x14ac:dyDescent="0.2">
      <c r="C2771"/>
      <c r="M2771"/>
    </row>
    <row r="2772" spans="3:13" ht="12.75" customHeight="1" x14ac:dyDescent="0.2">
      <c r="C2772"/>
      <c r="M2772"/>
    </row>
    <row r="2773" spans="3:13" ht="12.75" customHeight="1" x14ac:dyDescent="0.2">
      <c r="C2773"/>
      <c r="M2773"/>
    </row>
    <row r="2774" spans="3:13" ht="12.75" customHeight="1" x14ac:dyDescent="0.2">
      <c r="C2774"/>
      <c r="M2774"/>
    </row>
    <row r="2775" spans="3:13" ht="12.75" customHeight="1" x14ac:dyDescent="0.2">
      <c r="C2775"/>
      <c r="M2775"/>
    </row>
    <row r="2776" spans="3:13" ht="12.75" customHeight="1" x14ac:dyDescent="0.2">
      <c r="C2776"/>
      <c r="M2776"/>
    </row>
    <row r="2777" spans="3:13" ht="12.75" customHeight="1" x14ac:dyDescent="0.2">
      <c r="C2777"/>
      <c r="M2777"/>
    </row>
    <row r="2778" spans="3:13" ht="12.75" customHeight="1" x14ac:dyDescent="0.2">
      <c r="C2778"/>
      <c r="M2778"/>
    </row>
    <row r="2779" spans="3:13" ht="12.75" customHeight="1" x14ac:dyDescent="0.2">
      <c r="C2779"/>
      <c r="M2779"/>
    </row>
    <row r="2780" spans="3:13" ht="12.75" customHeight="1" x14ac:dyDescent="0.2">
      <c r="C2780"/>
      <c r="M2780"/>
    </row>
    <row r="2781" spans="3:13" ht="12.75" customHeight="1" x14ac:dyDescent="0.2">
      <c r="C2781"/>
      <c r="M2781"/>
    </row>
    <row r="2782" spans="3:13" ht="12.75" customHeight="1" x14ac:dyDescent="0.2">
      <c r="C2782"/>
      <c r="M2782"/>
    </row>
    <row r="2783" spans="3:13" ht="12.75" customHeight="1" x14ac:dyDescent="0.2">
      <c r="C2783"/>
      <c r="M2783"/>
    </row>
    <row r="2784" spans="3:13" ht="12.75" customHeight="1" x14ac:dyDescent="0.2">
      <c r="C2784"/>
      <c r="M2784"/>
    </row>
    <row r="2785" spans="3:13" ht="12.75" customHeight="1" x14ac:dyDescent="0.2">
      <c r="C2785"/>
      <c r="M2785"/>
    </row>
    <row r="2786" spans="3:13" ht="12.75" customHeight="1" x14ac:dyDescent="0.2">
      <c r="C2786"/>
      <c r="M2786"/>
    </row>
    <row r="2787" spans="3:13" ht="12.75" customHeight="1" x14ac:dyDescent="0.2">
      <c r="C2787"/>
      <c r="M2787"/>
    </row>
    <row r="2788" spans="3:13" ht="12.75" customHeight="1" x14ac:dyDescent="0.2">
      <c r="C2788"/>
      <c r="M2788"/>
    </row>
    <row r="2789" spans="3:13" ht="12.75" customHeight="1" x14ac:dyDescent="0.2">
      <c r="C2789"/>
      <c r="M2789"/>
    </row>
    <row r="2790" spans="3:13" ht="12.75" customHeight="1" x14ac:dyDescent="0.2">
      <c r="C2790"/>
      <c r="M2790"/>
    </row>
    <row r="2791" spans="3:13" ht="12.75" customHeight="1" x14ac:dyDescent="0.2">
      <c r="C2791"/>
      <c r="M2791"/>
    </row>
    <row r="2792" spans="3:13" ht="12.75" customHeight="1" x14ac:dyDescent="0.2">
      <c r="C2792"/>
      <c r="M2792"/>
    </row>
    <row r="2793" spans="3:13" ht="12.75" customHeight="1" x14ac:dyDescent="0.2">
      <c r="C2793"/>
      <c r="M2793"/>
    </row>
    <row r="2794" spans="3:13" ht="12.75" customHeight="1" x14ac:dyDescent="0.2">
      <c r="C2794"/>
      <c r="M2794"/>
    </row>
    <row r="2795" spans="3:13" ht="12.75" customHeight="1" x14ac:dyDescent="0.2">
      <c r="C2795"/>
      <c r="M2795"/>
    </row>
    <row r="2796" spans="3:13" ht="12.75" customHeight="1" x14ac:dyDescent="0.2">
      <c r="C2796"/>
      <c r="M2796"/>
    </row>
    <row r="2797" spans="3:13" ht="12.75" customHeight="1" x14ac:dyDescent="0.2">
      <c r="C2797"/>
      <c r="M2797"/>
    </row>
    <row r="2798" spans="3:13" ht="12.75" customHeight="1" x14ac:dyDescent="0.2">
      <c r="C2798"/>
      <c r="M2798"/>
    </row>
    <row r="2799" spans="3:13" ht="12.75" customHeight="1" x14ac:dyDescent="0.2">
      <c r="C2799"/>
      <c r="M2799"/>
    </row>
    <row r="2800" spans="3:13" ht="12.75" customHeight="1" x14ac:dyDescent="0.2">
      <c r="C2800"/>
      <c r="M2800"/>
    </row>
    <row r="2801" spans="3:13" ht="12.75" customHeight="1" x14ac:dyDescent="0.2">
      <c r="C2801"/>
      <c r="M2801"/>
    </row>
    <row r="2802" spans="3:13" ht="12.75" customHeight="1" x14ac:dyDescent="0.2">
      <c r="C2802"/>
      <c r="M2802"/>
    </row>
    <row r="2803" spans="3:13" ht="12.75" customHeight="1" x14ac:dyDescent="0.2">
      <c r="C2803"/>
      <c r="M2803"/>
    </row>
    <row r="2804" spans="3:13" ht="12.75" customHeight="1" x14ac:dyDescent="0.2">
      <c r="C2804"/>
      <c r="M2804"/>
    </row>
    <row r="2805" spans="3:13" ht="12.75" customHeight="1" x14ac:dyDescent="0.2">
      <c r="C2805"/>
      <c r="M2805"/>
    </row>
    <row r="2806" spans="3:13" ht="12.75" customHeight="1" x14ac:dyDescent="0.2">
      <c r="C2806"/>
      <c r="M2806"/>
    </row>
    <row r="2807" spans="3:13" ht="12.75" customHeight="1" x14ac:dyDescent="0.2">
      <c r="C2807"/>
      <c r="M2807"/>
    </row>
    <row r="2808" spans="3:13" ht="12.75" customHeight="1" x14ac:dyDescent="0.2">
      <c r="C2808"/>
      <c r="M2808"/>
    </row>
    <row r="2809" spans="3:13" ht="12.75" customHeight="1" x14ac:dyDescent="0.2">
      <c r="C2809"/>
      <c r="M2809"/>
    </row>
    <row r="2810" spans="3:13" ht="12.75" customHeight="1" x14ac:dyDescent="0.2">
      <c r="C2810"/>
      <c r="M2810"/>
    </row>
    <row r="2811" spans="3:13" ht="12.75" customHeight="1" x14ac:dyDescent="0.2">
      <c r="C2811"/>
      <c r="M2811"/>
    </row>
    <row r="2812" spans="3:13" ht="12.75" customHeight="1" x14ac:dyDescent="0.2">
      <c r="C2812"/>
      <c r="M2812"/>
    </row>
    <row r="2813" spans="3:13" ht="12.75" customHeight="1" x14ac:dyDescent="0.2">
      <c r="C2813"/>
      <c r="M2813"/>
    </row>
    <row r="2814" spans="3:13" ht="12.75" customHeight="1" x14ac:dyDescent="0.2">
      <c r="C2814"/>
      <c r="M2814"/>
    </row>
    <row r="2815" spans="3:13" ht="12.75" customHeight="1" x14ac:dyDescent="0.2">
      <c r="C2815"/>
      <c r="M2815"/>
    </row>
    <row r="2816" spans="3:13" ht="12.75" customHeight="1" x14ac:dyDescent="0.2">
      <c r="C2816"/>
      <c r="M2816"/>
    </row>
    <row r="2817" spans="3:13" ht="12.75" customHeight="1" x14ac:dyDescent="0.2">
      <c r="C2817"/>
      <c r="M2817"/>
    </row>
    <row r="2818" spans="3:13" ht="12.75" customHeight="1" x14ac:dyDescent="0.2">
      <c r="C2818"/>
      <c r="M2818"/>
    </row>
    <row r="2819" spans="3:13" ht="12.75" customHeight="1" x14ac:dyDescent="0.2">
      <c r="C2819"/>
      <c r="M2819"/>
    </row>
    <row r="2820" spans="3:13" ht="12.75" customHeight="1" x14ac:dyDescent="0.2">
      <c r="C2820"/>
      <c r="M2820"/>
    </row>
    <row r="2821" spans="3:13" ht="12.75" customHeight="1" x14ac:dyDescent="0.2">
      <c r="C2821"/>
      <c r="M2821"/>
    </row>
    <row r="2822" spans="3:13" ht="12.75" customHeight="1" x14ac:dyDescent="0.2">
      <c r="C2822"/>
      <c r="M2822"/>
    </row>
    <row r="2823" spans="3:13" ht="12.75" customHeight="1" x14ac:dyDescent="0.2">
      <c r="C2823"/>
      <c r="M2823"/>
    </row>
    <row r="2824" spans="3:13" ht="12.75" customHeight="1" x14ac:dyDescent="0.2">
      <c r="C2824"/>
      <c r="M2824"/>
    </row>
    <row r="2825" spans="3:13" ht="12.75" customHeight="1" x14ac:dyDescent="0.2">
      <c r="C2825"/>
      <c r="M2825"/>
    </row>
    <row r="2826" spans="3:13" ht="12.75" customHeight="1" x14ac:dyDescent="0.2">
      <c r="C2826"/>
      <c r="M2826"/>
    </row>
    <row r="2827" spans="3:13" ht="12.75" customHeight="1" x14ac:dyDescent="0.2">
      <c r="C2827"/>
      <c r="M2827"/>
    </row>
    <row r="2828" spans="3:13" ht="12.75" customHeight="1" x14ac:dyDescent="0.2">
      <c r="C2828"/>
      <c r="M2828"/>
    </row>
    <row r="2829" spans="3:13" ht="12.75" customHeight="1" x14ac:dyDescent="0.2">
      <c r="C2829"/>
      <c r="M2829"/>
    </row>
    <row r="2830" spans="3:13" ht="12.75" customHeight="1" x14ac:dyDescent="0.2">
      <c r="C2830"/>
      <c r="M2830"/>
    </row>
    <row r="2831" spans="3:13" ht="12.75" customHeight="1" x14ac:dyDescent="0.2">
      <c r="C2831"/>
      <c r="M2831"/>
    </row>
    <row r="2832" spans="3:13" ht="12.75" customHeight="1" x14ac:dyDescent="0.2">
      <c r="C2832"/>
      <c r="M2832"/>
    </row>
    <row r="2833" spans="3:13" ht="12.75" customHeight="1" x14ac:dyDescent="0.2">
      <c r="C2833"/>
      <c r="M2833"/>
    </row>
    <row r="2834" spans="3:13" ht="12.75" customHeight="1" x14ac:dyDescent="0.2">
      <c r="C2834"/>
      <c r="M2834"/>
    </row>
    <row r="2835" spans="3:13" ht="12.75" customHeight="1" x14ac:dyDescent="0.2">
      <c r="C2835"/>
      <c r="M2835"/>
    </row>
    <row r="2836" spans="3:13" ht="12.75" customHeight="1" x14ac:dyDescent="0.2">
      <c r="C2836"/>
      <c r="M2836"/>
    </row>
    <row r="2837" spans="3:13" ht="12.75" customHeight="1" x14ac:dyDescent="0.2">
      <c r="C2837"/>
      <c r="M2837"/>
    </row>
    <row r="2838" spans="3:13" ht="12.75" customHeight="1" x14ac:dyDescent="0.2">
      <c r="C2838"/>
      <c r="M2838"/>
    </row>
    <row r="2839" spans="3:13" ht="12.75" customHeight="1" x14ac:dyDescent="0.2">
      <c r="C2839"/>
      <c r="M2839"/>
    </row>
    <row r="2840" spans="3:13" ht="12.75" customHeight="1" x14ac:dyDescent="0.2">
      <c r="C2840"/>
      <c r="M2840"/>
    </row>
    <row r="2841" spans="3:13" ht="12.75" customHeight="1" x14ac:dyDescent="0.2">
      <c r="C2841"/>
      <c r="M2841"/>
    </row>
    <row r="2842" spans="3:13" ht="12.75" customHeight="1" x14ac:dyDescent="0.2">
      <c r="C2842"/>
      <c r="M2842"/>
    </row>
    <row r="2843" spans="3:13" ht="12.75" customHeight="1" x14ac:dyDescent="0.2">
      <c r="C2843"/>
      <c r="M2843"/>
    </row>
    <row r="2844" spans="3:13" ht="12.75" customHeight="1" x14ac:dyDescent="0.2">
      <c r="C2844"/>
      <c r="M2844"/>
    </row>
    <row r="2845" spans="3:13" ht="12.75" customHeight="1" x14ac:dyDescent="0.2">
      <c r="C2845"/>
      <c r="M2845"/>
    </row>
    <row r="2846" spans="3:13" ht="12.75" customHeight="1" x14ac:dyDescent="0.2">
      <c r="C2846"/>
      <c r="M2846"/>
    </row>
    <row r="2847" spans="3:13" ht="12.75" customHeight="1" x14ac:dyDescent="0.2">
      <c r="C2847"/>
      <c r="M2847"/>
    </row>
    <row r="2848" spans="3:13" ht="12.75" customHeight="1" x14ac:dyDescent="0.2">
      <c r="C2848"/>
      <c r="M2848"/>
    </row>
    <row r="2849" spans="3:13" ht="12.75" customHeight="1" x14ac:dyDescent="0.2">
      <c r="C2849"/>
      <c r="M2849"/>
    </row>
    <row r="2850" spans="3:13" ht="12.75" customHeight="1" x14ac:dyDescent="0.2">
      <c r="C2850"/>
      <c r="M2850"/>
    </row>
    <row r="2851" spans="3:13" ht="12.75" customHeight="1" x14ac:dyDescent="0.2">
      <c r="C2851"/>
      <c r="M2851"/>
    </row>
    <row r="2852" spans="3:13" ht="12.75" customHeight="1" x14ac:dyDescent="0.2">
      <c r="C2852"/>
      <c r="M2852"/>
    </row>
    <row r="2853" spans="3:13" ht="12.75" customHeight="1" x14ac:dyDescent="0.2">
      <c r="C2853"/>
      <c r="M2853"/>
    </row>
    <row r="2854" spans="3:13" ht="12.75" customHeight="1" x14ac:dyDescent="0.2">
      <c r="C2854"/>
      <c r="M2854"/>
    </row>
    <row r="2855" spans="3:13" ht="12.75" customHeight="1" x14ac:dyDescent="0.2">
      <c r="C2855"/>
      <c r="M2855"/>
    </row>
    <row r="2856" spans="3:13" ht="12.75" customHeight="1" x14ac:dyDescent="0.2">
      <c r="C2856"/>
      <c r="M2856"/>
    </row>
    <row r="2857" spans="3:13" ht="12.75" customHeight="1" x14ac:dyDescent="0.2">
      <c r="C2857"/>
      <c r="M2857"/>
    </row>
    <row r="2858" spans="3:13" ht="12.75" customHeight="1" x14ac:dyDescent="0.2">
      <c r="C2858"/>
      <c r="M2858"/>
    </row>
    <row r="2859" spans="3:13" ht="12.75" customHeight="1" x14ac:dyDescent="0.2">
      <c r="C2859"/>
      <c r="M2859"/>
    </row>
    <row r="2860" spans="3:13" ht="12.75" customHeight="1" x14ac:dyDescent="0.2">
      <c r="C2860"/>
      <c r="M2860"/>
    </row>
    <row r="2861" spans="3:13" ht="12.75" customHeight="1" x14ac:dyDescent="0.2">
      <c r="C2861"/>
      <c r="M2861"/>
    </row>
    <row r="2862" spans="3:13" ht="12.75" customHeight="1" x14ac:dyDescent="0.2">
      <c r="C2862"/>
      <c r="M2862"/>
    </row>
    <row r="2863" spans="3:13" ht="12.75" customHeight="1" x14ac:dyDescent="0.2">
      <c r="C2863"/>
      <c r="M2863"/>
    </row>
    <row r="2864" spans="3:13" ht="12.75" customHeight="1" x14ac:dyDescent="0.2">
      <c r="C2864"/>
      <c r="M2864"/>
    </row>
    <row r="2865" spans="3:13" ht="12.75" customHeight="1" x14ac:dyDescent="0.2">
      <c r="C2865"/>
      <c r="M2865"/>
    </row>
    <row r="2866" spans="3:13" ht="12.75" customHeight="1" x14ac:dyDescent="0.2">
      <c r="C2866"/>
      <c r="M2866"/>
    </row>
    <row r="2867" spans="3:13" ht="12.75" customHeight="1" x14ac:dyDescent="0.2">
      <c r="C2867"/>
      <c r="M2867"/>
    </row>
    <row r="2868" spans="3:13" ht="12.75" customHeight="1" x14ac:dyDescent="0.2">
      <c r="C2868"/>
      <c r="M2868"/>
    </row>
    <row r="2869" spans="3:13" ht="12.75" customHeight="1" x14ac:dyDescent="0.2">
      <c r="C2869"/>
      <c r="M2869"/>
    </row>
    <row r="2870" spans="3:13" ht="12.75" customHeight="1" x14ac:dyDescent="0.2">
      <c r="C2870"/>
      <c r="M2870"/>
    </row>
    <row r="2871" spans="3:13" ht="12.75" customHeight="1" x14ac:dyDescent="0.2">
      <c r="C2871"/>
      <c r="M2871"/>
    </row>
    <row r="2872" spans="3:13" ht="12.75" customHeight="1" x14ac:dyDescent="0.2">
      <c r="C2872"/>
      <c r="M2872"/>
    </row>
    <row r="2873" spans="3:13" ht="12.75" customHeight="1" x14ac:dyDescent="0.2">
      <c r="C2873"/>
      <c r="M2873"/>
    </row>
    <row r="2874" spans="3:13" ht="12.75" customHeight="1" x14ac:dyDescent="0.2">
      <c r="C2874"/>
      <c r="M2874"/>
    </row>
    <row r="2875" spans="3:13" ht="12.75" customHeight="1" x14ac:dyDescent="0.2">
      <c r="C2875"/>
      <c r="M2875"/>
    </row>
    <row r="2876" spans="3:13" ht="12.75" customHeight="1" x14ac:dyDescent="0.2">
      <c r="C2876"/>
      <c r="M2876"/>
    </row>
    <row r="2877" spans="3:13" ht="12.75" customHeight="1" x14ac:dyDescent="0.2">
      <c r="C2877"/>
      <c r="M2877"/>
    </row>
    <row r="2878" spans="3:13" ht="12.75" customHeight="1" x14ac:dyDescent="0.2">
      <c r="C2878"/>
      <c r="M2878"/>
    </row>
    <row r="2879" spans="3:13" ht="12.75" customHeight="1" x14ac:dyDescent="0.2">
      <c r="C2879"/>
      <c r="M2879"/>
    </row>
    <row r="2880" spans="3:13" ht="12.75" customHeight="1" x14ac:dyDescent="0.2">
      <c r="C2880"/>
      <c r="M2880"/>
    </row>
    <row r="2881" spans="3:13" ht="12.75" customHeight="1" x14ac:dyDescent="0.2">
      <c r="C2881"/>
      <c r="M2881"/>
    </row>
    <row r="2882" spans="3:13" ht="12.75" customHeight="1" x14ac:dyDescent="0.2">
      <c r="C2882"/>
      <c r="M2882"/>
    </row>
    <row r="2883" spans="3:13" ht="12.75" customHeight="1" x14ac:dyDescent="0.2">
      <c r="C2883"/>
      <c r="M2883"/>
    </row>
    <row r="2884" spans="3:13" ht="12.75" customHeight="1" x14ac:dyDescent="0.2">
      <c r="C2884"/>
      <c r="M2884"/>
    </row>
    <row r="2885" spans="3:13" ht="12.75" customHeight="1" x14ac:dyDescent="0.2">
      <c r="C2885"/>
      <c r="M2885"/>
    </row>
    <row r="2886" spans="3:13" ht="12.75" customHeight="1" x14ac:dyDescent="0.2">
      <c r="C2886"/>
      <c r="M2886"/>
    </row>
    <row r="2887" spans="3:13" ht="12.75" customHeight="1" x14ac:dyDescent="0.2">
      <c r="C2887"/>
      <c r="M2887"/>
    </row>
    <row r="2888" spans="3:13" ht="12.75" customHeight="1" x14ac:dyDescent="0.2">
      <c r="C2888"/>
      <c r="M2888"/>
    </row>
    <row r="2889" spans="3:13" ht="12.75" customHeight="1" x14ac:dyDescent="0.2">
      <c r="C2889"/>
      <c r="M2889"/>
    </row>
    <row r="2890" spans="3:13" ht="12.75" customHeight="1" x14ac:dyDescent="0.2">
      <c r="C2890"/>
      <c r="M2890"/>
    </row>
    <row r="2891" spans="3:13" ht="12.75" customHeight="1" x14ac:dyDescent="0.2">
      <c r="C2891"/>
      <c r="M2891"/>
    </row>
    <row r="2892" spans="3:13" ht="12.75" customHeight="1" x14ac:dyDescent="0.2">
      <c r="C2892"/>
      <c r="M2892"/>
    </row>
    <row r="2893" spans="3:13" ht="12.75" customHeight="1" x14ac:dyDescent="0.2">
      <c r="C2893"/>
      <c r="M2893"/>
    </row>
    <row r="2894" spans="3:13" ht="12.75" customHeight="1" x14ac:dyDescent="0.2">
      <c r="C2894"/>
      <c r="M2894"/>
    </row>
    <row r="2895" spans="3:13" ht="12.75" customHeight="1" x14ac:dyDescent="0.2">
      <c r="C2895"/>
      <c r="M2895"/>
    </row>
    <row r="2896" spans="3:13" ht="12.75" customHeight="1" x14ac:dyDescent="0.2">
      <c r="C2896"/>
      <c r="M2896"/>
    </row>
    <row r="2897" spans="3:13" ht="12.75" customHeight="1" x14ac:dyDescent="0.2">
      <c r="C2897"/>
      <c r="M2897"/>
    </row>
    <row r="2898" spans="3:13" ht="12.75" customHeight="1" x14ac:dyDescent="0.2">
      <c r="C2898"/>
      <c r="M2898"/>
    </row>
    <row r="2899" spans="3:13" ht="12.75" customHeight="1" x14ac:dyDescent="0.2">
      <c r="C2899"/>
      <c r="M2899"/>
    </row>
    <row r="2900" spans="3:13" ht="12.75" customHeight="1" x14ac:dyDescent="0.2">
      <c r="C2900"/>
      <c r="M2900"/>
    </row>
    <row r="2901" spans="3:13" ht="12.75" customHeight="1" x14ac:dyDescent="0.2">
      <c r="C2901"/>
      <c r="M2901"/>
    </row>
    <row r="2902" spans="3:13" ht="12.75" customHeight="1" x14ac:dyDescent="0.2">
      <c r="C2902"/>
      <c r="M2902"/>
    </row>
    <row r="2903" spans="3:13" ht="12.75" customHeight="1" x14ac:dyDescent="0.2">
      <c r="C2903"/>
      <c r="M2903"/>
    </row>
    <row r="2904" spans="3:13" ht="12.75" customHeight="1" x14ac:dyDescent="0.2">
      <c r="C2904"/>
      <c r="M2904"/>
    </row>
    <row r="2905" spans="3:13" ht="12.75" customHeight="1" x14ac:dyDescent="0.2">
      <c r="C2905"/>
      <c r="M2905"/>
    </row>
    <row r="2906" spans="3:13" ht="12.75" customHeight="1" x14ac:dyDescent="0.2">
      <c r="C2906"/>
      <c r="M2906"/>
    </row>
    <row r="2907" spans="3:13" ht="12.75" customHeight="1" x14ac:dyDescent="0.2">
      <c r="C2907"/>
      <c r="M2907"/>
    </row>
    <row r="2908" spans="3:13" ht="12.75" customHeight="1" x14ac:dyDescent="0.2">
      <c r="C2908"/>
      <c r="M2908"/>
    </row>
    <row r="2909" spans="3:13" ht="12.75" customHeight="1" x14ac:dyDescent="0.2">
      <c r="C2909"/>
      <c r="M2909"/>
    </row>
    <row r="2910" spans="3:13" ht="12.75" customHeight="1" x14ac:dyDescent="0.2">
      <c r="C2910"/>
      <c r="M2910"/>
    </row>
    <row r="2911" spans="3:13" ht="12.75" customHeight="1" x14ac:dyDescent="0.2">
      <c r="C2911"/>
      <c r="M2911"/>
    </row>
    <row r="2912" spans="3:13" ht="12.75" customHeight="1" x14ac:dyDescent="0.2">
      <c r="C2912"/>
      <c r="M2912"/>
    </row>
    <row r="2913" spans="3:13" ht="12.75" customHeight="1" x14ac:dyDescent="0.2">
      <c r="C2913"/>
      <c r="M2913"/>
    </row>
    <row r="2914" spans="3:13" ht="12.75" customHeight="1" x14ac:dyDescent="0.2">
      <c r="C2914"/>
      <c r="M2914"/>
    </row>
    <row r="2915" spans="3:13" ht="12.75" customHeight="1" x14ac:dyDescent="0.2">
      <c r="C2915"/>
      <c r="M2915"/>
    </row>
    <row r="2916" spans="3:13" ht="12.75" customHeight="1" x14ac:dyDescent="0.2">
      <c r="C2916"/>
      <c r="M2916"/>
    </row>
    <row r="2917" spans="3:13" ht="12.75" customHeight="1" x14ac:dyDescent="0.2">
      <c r="C2917"/>
      <c r="M2917"/>
    </row>
    <row r="2918" spans="3:13" ht="12.75" customHeight="1" x14ac:dyDescent="0.2">
      <c r="C2918"/>
      <c r="M2918"/>
    </row>
    <row r="2919" spans="3:13" ht="12.75" customHeight="1" x14ac:dyDescent="0.2">
      <c r="C2919"/>
      <c r="M2919"/>
    </row>
    <row r="2920" spans="3:13" ht="12.75" customHeight="1" x14ac:dyDescent="0.2">
      <c r="C2920"/>
      <c r="M2920"/>
    </row>
    <row r="2921" spans="3:13" ht="12.75" customHeight="1" x14ac:dyDescent="0.2">
      <c r="C2921"/>
      <c r="M2921"/>
    </row>
    <row r="2922" spans="3:13" ht="12.75" customHeight="1" x14ac:dyDescent="0.2">
      <c r="C2922"/>
      <c r="M2922"/>
    </row>
    <row r="2923" spans="3:13" ht="12.75" customHeight="1" x14ac:dyDescent="0.2">
      <c r="C2923"/>
      <c r="M2923"/>
    </row>
    <row r="2924" spans="3:13" ht="12.75" customHeight="1" x14ac:dyDescent="0.2">
      <c r="C2924"/>
      <c r="M2924"/>
    </row>
    <row r="2925" spans="3:13" ht="12.75" customHeight="1" x14ac:dyDescent="0.2">
      <c r="C2925"/>
      <c r="M2925"/>
    </row>
    <row r="2926" spans="3:13" ht="12.75" customHeight="1" x14ac:dyDescent="0.2">
      <c r="C2926"/>
      <c r="M2926"/>
    </row>
    <row r="2927" spans="3:13" ht="12.75" customHeight="1" x14ac:dyDescent="0.2">
      <c r="C2927"/>
      <c r="M2927"/>
    </row>
    <row r="2928" spans="3:13" ht="12.75" customHeight="1" x14ac:dyDescent="0.2">
      <c r="C2928"/>
      <c r="M2928"/>
    </row>
    <row r="2929" spans="3:13" ht="12.75" customHeight="1" x14ac:dyDescent="0.2">
      <c r="C2929"/>
      <c r="M2929"/>
    </row>
    <row r="2930" spans="3:13" ht="12.75" customHeight="1" x14ac:dyDescent="0.2">
      <c r="C2930"/>
      <c r="M2930"/>
    </row>
    <row r="2931" spans="3:13" ht="12.75" customHeight="1" x14ac:dyDescent="0.2">
      <c r="C2931"/>
      <c r="M2931"/>
    </row>
    <row r="2932" spans="3:13" ht="12.75" customHeight="1" x14ac:dyDescent="0.2">
      <c r="C2932"/>
      <c r="M2932"/>
    </row>
    <row r="2933" spans="3:13" ht="12.75" customHeight="1" x14ac:dyDescent="0.2">
      <c r="C2933"/>
      <c r="M2933"/>
    </row>
    <row r="2934" spans="3:13" ht="12.75" customHeight="1" x14ac:dyDescent="0.2">
      <c r="C2934"/>
      <c r="M2934"/>
    </row>
    <row r="2935" spans="3:13" ht="12.75" customHeight="1" x14ac:dyDescent="0.2">
      <c r="C2935"/>
      <c r="M2935"/>
    </row>
    <row r="2936" spans="3:13" ht="12.75" customHeight="1" x14ac:dyDescent="0.2">
      <c r="C2936"/>
      <c r="M2936"/>
    </row>
    <row r="2937" spans="3:13" ht="12.75" customHeight="1" x14ac:dyDescent="0.2">
      <c r="C2937"/>
      <c r="M2937"/>
    </row>
    <row r="2938" spans="3:13" ht="12.75" customHeight="1" x14ac:dyDescent="0.2">
      <c r="C2938"/>
      <c r="M2938"/>
    </row>
    <row r="2939" spans="3:13" ht="12.75" customHeight="1" x14ac:dyDescent="0.2">
      <c r="C2939"/>
      <c r="M2939"/>
    </row>
    <row r="2940" spans="3:13" ht="12.75" customHeight="1" x14ac:dyDescent="0.2">
      <c r="C2940"/>
      <c r="M2940"/>
    </row>
    <row r="2941" spans="3:13" ht="12.75" customHeight="1" x14ac:dyDescent="0.2">
      <c r="C2941"/>
      <c r="M2941"/>
    </row>
    <row r="2942" spans="3:13" ht="12.75" customHeight="1" x14ac:dyDescent="0.2">
      <c r="C2942"/>
      <c r="M2942"/>
    </row>
    <row r="2943" spans="3:13" ht="12.75" customHeight="1" x14ac:dyDescent="0.2">
      <c r="C2943"/>
      <c r="M2943"/>
    </row>
    <row r="2944" spans="3:13" ht="12.75" customHeight="1" x14ac:dyDescent="0.2">
      <c r="C2944"/>
      <c r="M2944"/>
    </row>
    <row r="2945" spans="3:13" ht="12.75" customHeight="1" x14ac:dyDescent="0.2">
      <c r="C2945"/>
      <c r="M2945"/>
    </row>
    <row r="2946" spans="3:13" ht="12.75" customHeight="1" x14ac:dyDescent="0.2">
      <c r="C2946"/>
      <c r="M2946"/>
    </row>
    <row r="2947" spans="3:13" ht="12.75" customHeight="1" x14ac:dyDescent="0.2">
      <c r="C2947"/>
      <c r="M2947"/>
    </row>
    <row r="2948" spans="3:13" ht="12.75" customHeight="1" x14ac:dyDescent="0.2">
      <c r="C2948"/>
      <c r="M2948"/>
    </row>
    <row r="2949" spans="3:13" ht="12.75" customHeight="1" x14ac:dyDescent="0.2">
      <c r="C2949"/>
      <c r="M2949"/>
    </row>
    <row r="2950" spans="3:13" ht="12.75" customHeight="1" x14ac:dyDescent="0.2">
      <c r="C2950"/>
      <c r="M2950"/>
    </row>
    <row r="2951" spans="3:13" ht="12.75" customHeight="1" x14ac:dyDescent="0.2">
      <c r="C2951"/>
      <c r="M2951"/>
    </row>
    <row r="2952" spans="3:13" ht="12.75" customHeight="1" x14ac:dyDescent="0.2">
      <c r="C2952"/>
      <c r="M2952"/>
    </row>
    <row r="2953" spans="3:13" ht="12.75" customHeight="1" x14ac:dyDescent="0.2">
      <c r="C2953"/>
      <c r="M2953"/>
    </row>
    <row r="2954" spans="3:13" ht="12.75" customHeight="1" x14ac:dyDescent="0.2">
      <c r="C2954"/>
      <c r="M2954"/>
    </row>
    <row r="2955" spans="3:13" ht="12.75" customHeight="1" x14ac:dyDescent="0.2">
      <c r="C2955"/>
      <c r="M2955"/>
    </row>
    <row r="2956" spans="3:13" ht="12.75" customHeight="1" x14ac:dyDescent="0.2">
      <c r="C2956"/>
      <c r="M2956"/>
    </row>
    <row r="2957" spans="3:13" ht="12.75" customHeight="1" x14ac:dyDescent="0.2">
      <c r="C2957"/>
      <c r="M2957"/>
    </row>
    <row r="2958" spans="3:13" ht="12.75" customHeight="1" x14ac:dyDescent="0.2">
      <c r="C2958"/>
      <c r="M2958"/>
    </row>
    <row r="2959" spans="3:13" ht="12.75" customHeight="1" x14ac:dyDescent="0.2">
      <c r="C2959"/>
      <c r="M2959"/>
    </row>
    <row r="2960" spans="3:13" ht="12.75" customHeight="1" x14ac:dyDescent="0.2">
      <c r="C2960"/>
      <c r="M2960"/>
    </row>
    <row r="2961" spans="3:13" ht="12.75" customHeight="1" x14ac:dyDescent="0.2">
      <c r="C2961"/>
      <c r="M2961"/>
    </row>
    <row r="2962" spans="3:13" ht="12.75" customHeight="1" x14ac:dyDescent="0.2">
      <c r="C2962"/>
      <c r="M2962"/>
    </row>
    <row r="2963" spans="3:13" ht="12.75" customHeight="1" x14ac:dyDescent="0.2">
      <c r="C2963"/>
      <c r="M2963"/>
    </row>
    <row r="2964" spans="3:13" ht="12.75" customHeight="1" x14ac:dyDescent="0.2">
      <c r="C2964"/>
      <c r="M2964"/>
    </row>
    <row r="2965" spans="3:13" ht="12.75" customHeight="1" x14ac:dyDescent="0.2">
      <c r="C2965"/>
      <c r="M2965"/>
    </row>
    <row r="2966" spans="3:13" ht="12.75" customHeight="1" x14ac:dyDescent="0.2">
      <c r="C2966"/>
      <c r="M2966"/>
    </row>
    <row r="2967" spans="3:13" ht="12.75" customHeight="1" x14ac:dyDescent="0.2">
      <c r="C2967"/>
      <c r="M2967"/>
    </row>
    <row r="2968" spans="3:13" ht="12.75" customHeight="1" x14ac:dyDescent="0.2">
      <c r="C2968"/>
      <c r="M2968"/>
    </row>
    <row r="2969" spans="3:13" ht="12.75" customHeight="1" x14ac:dyDescent="0.2">
      <c r="C2969"/>
      <c r="M2969"/>
    </row>
    <row r="2970" spans="3:13" ht="12.75" customHeight="1" x14ac:dyDescent="0.2">
      <c r="C2970"/>
      <c r="M2970"/>
    </row>
    <row r="2971" spans="3:13" ht="12.75" customHeight="1" x14ac:dyDescent="0.2">
      <c r="C2971"/>
      <c r="M2971"/>
    </row>
    <row r="2972" spans="3:13" ht="12.75" customHeight="1" x14ac:dyDescent="0.2">
      <c r="C2972"/>
      <c r="M2972"/>
    </row>
    <row r="2973" spans="3:13" ht="12.75" customHeight="1" x14ac:dyDescent="0.2">
      <c r="C2973"/>
      <c r="M2973"/>
    </row>
    <row r="2974" spans="3:13" ht="12.75" customHeight="1" x14ac:dyDescent="0.2">
      <c r="C2974"/>
      <c r="M2974"/>
    </row>
    <row r="2975" spans="3:13" ht="12.75" customHeight="1" x14ac:dyDescent="0.2">
      <c r="C2975"/>
      <c r="M2975"/>
    </row>
    <row r="2976" spans="3:13" ht="12.75" customHeight="1" x14ac:dyDescent="0.2">
      <c r="C2976"/>
      <c r="M2976"/>
    </row>
    <row r="2977" spans="3:13" ht="12.75" customHeight="1" x14ac:dyDescent="0.2">
      <c r="C2977"/>
      <c r="M2977"/>
    </row>
    <row r="2978" spans="3:13" ht="12.75" customHeight="1" x14ac:dyDescent="0.2">
      <c r="C2978"/>
      <c r="M2978"/>
    </row>
    <row r="2979" spans="3:13" ht="12.75" customHeight="1" x14ac:dyDescent="0.2">
      <c r="C2979"/>
      <c r="M2979"/>
    </row>
    <row r="2980" spans="3:13" ht="12.75" customHeight="1" x14ac:dyDescent="0.2">
      <c r="C2980"/>
      <c r="M2980"/>
    </row>
    <row r="2981" spans="3:13" ht="12.75" customHeight="1" x14ac:dyDescent="0.2">
      <c r="C2981"/>
      <c r="M2981"/>
    </row>
    <row r="2982" spans="3:13" ht="12.75" customHeight="1" x14ac:dyDescent="0.2">
      <c r="C2982"/>
      <c r="M2982"/>
    </row>
    <row r="2983" spans="3:13" ht="12.75" customHeight="1" x14ac:dyDescent="0.2">
      <c r="C2983"/>
      <c r="M2983"/>
    </row>
    <row r="2984" spans="3:13" ht="12.75" customHeight="1" x14ac:dyDescent="0.2">
      <c r="C2984"/>
      <c r="M2984"/>
    </row>
    <row r="2985" spans="3:13" ht="12.75" customHeight="1" x14ac:dyDescent="0.2">
      <c r="C2985"/>
      <c r="M2985"/>
    </row>
    <row r="2986" spans="3:13" ht="12.75" customHeight="1" x14ac:dyDescent="0.2">
      <c r="C2986"/>
      <c r="M2986"/>
    </row>
    <row r="2987" spans="3:13" ht="12.75" customHeight="1" x14ac:dyDescent="0.2">
      <c r="C2987"/>
      <c r="M2987"/>
    </row>
    <row r="2988" spans="3:13" ht="12.75" customHeight="1" x14ac:dyDescent="0.2">
      <c r="C2988"/>
      <c r="M2988"/>
    </row>
    <row r="2989" spans="3:13" ht="12.75" customHeight="1" x14ac:dyDescent="0.2">
      <c r="C2989"/>
      <c r="M2989"/>
    </row>
    <row r="2990" spans="3:13" ht="12.75" customHeight="1" x14ac:dyDescent="0.2">
      <c r="C2990"/>
      <c r="M2990"/>
    </row>
    <row r="2991" spans="3:13" ht="12.75" customHeight="1" x14ac:dyDescent="0.2">
      <c r="C2991"/>
      <c r="M2991"/>
    </row>
    <row r="2992" spans="3:13" ht="12.75" customHeight="1" x14ac:dyDescent="0.2">
      <c r="C2992"/>
      <c r="M2992"/>
    </row>
    <row r="2993" spans="3:13" ht="12.75" customHeight="1" x14ac:dyDescent="0.2">
      <c r="C2993"/>
      <c r="M2993"/>
    </row>
    <row r="2994" spans="3:13" ht="12.75" customHeight="1" x14ac:dyDescent="0.2">
      <c r="C2994"/>
      <c r="M2994"/>
    </row>
    <row r="2995" spans="3:13" ht="12.75" customHeight="1" x14ac:dyDescent="0.2">
      <c r="C2995"/>
      <c r="M2995"/>
    </row>
    <row r="2996" spans="3:13" ht="12.75" customHeight="1" x14ac:dyDescent="0.2">
      <c r="C2996"/>
      <c r="M2996"/>
    </row>
    <row r="2997" spans="3:13" ht="12.75" customHeight="1" x14ac:dyDescent="0.2">
      <c r="C2997"/>
      <c r="M2997"/>
    </row>
    <row r="2998" spans="3:13" ht="12.75" customHeight="1" x14ac:dyDescent="0.2">
      <c r="C2998"/>
      <c r="M2998"/>
    </row>
    <row r="2999" spans="3:13" ht="12.75" customHeight="1" x14ac:dyDescent="0.2">
      <c r="C2999"/>
      <c r="M2999"/>
    </row>
    <row r="3000" spans="3:13" ht="12.75" customHeight="1" x14ac:dyDescent="0.2">
      <c r="C3000"/>
      <c r="M3000"/>
    </row>
    <row r="3001" spans="3:13" ht="12.75" customHeight="1" x14ac:dyDescent="0.2">
      <c r="C3001"/>
      <c r="M3001"/>
    </row>
    <row r="3002" spans="3:13" ht="12.75" customHeight="1" x14ac:dyDescent="0.2">
      <c r="C3002"/>
      <c r="M3002"/>
    </row>
    <row r="3003" spans="3:13" ht="12.75" customHeight="1" x14ac:dyDescent="0.2">
      <c r="C3003"/>
      <c r="M3003"/>
    </row>
    <row r="3004" spans="3:13" ht="12.75" customHeight="1" x14ac:dyDescent="0.2">
      <c r="C3004"/>
      <c r="M3004"/>
    </row>
    <row r="3005" spans="3:13" ht="12.75" customHeight="1" x14ac:dyDescent="0.2">
      <c r="C3005"/>
      <c r="M3005"/>
    </row>
    <row r="3006" spans="3:13" ht="12.75" customHeight="1" x14ac:dyDescent="0.2">
      <c r="C3006"/>
      <c r="M3006"/>
    </row>
    <row r="3007" spans="3:13" ht="12.75" customHeight="1" x14ac:dyDescent="0.2">
      <c r="C3007"/>
      <c r="M3007"/>
    </row>
    <row r="3008" spans="3:13" ht="12.75" customHeight="1" x14ac:dyDescent="0.2">
      <c r="C3008"/>
      <c r="M3008"/>
    </row>
    <row r="3009" spans="3:13" ht="12.75" customHeight="1" x14ac:dyDescent="0.2">
      <c r="C3009"/>
      <c r="M3009"/>
    </row>
    <row r="3010" spans="3:13" ht="12.75" customHeight="1" x14ac:dyDescent="0.2">
      <c r="C3010"/>
      <c r="M3010"/>
    </row>
    <row r="3011" spans="3:13" ht="12.75" customHeight="1" x14ac:dyDescent="0.2">
      <c r="C3011"/>
      <c r="M3011"/>
    </row>
    <row r="3012" spans="3:13" ht="12.75" customHeight="1" x14ac:dyDescent="0.2">
      <c r="C3012"/>
      <c r="M3012"/>
    </row>
    <row r="3013" spans="3:13" ht="12.75" customHeight="1" x14ac:dyDescent="0.2">
      <c r="C3013"/>
      <c r="M3013"/>
    </row>
    <row r="3014" spans="3:13" ht="12.75" customHeight="1" x14ac:dyDescent="0.2">
      <c r="C3014"/>
      <c r="M3014"/>
    </row>
    <row r="3015" spans="3:13" ht="12.75" customHeight="1" x14ac:dyDescent="0.2">
      <c r="C3015"/>
      <c r="M3015"/>
    </row>
    <row r="3016" spans="3:13" ht="12.75" customHeight="1" x14ac:dyDescent="0.2">
      <c r="C3016"/>
      <c r="M3016"/>
    </row>
    <row r="3017" spans="3:13" ht="12.75" customHeight="1" x14ac:dyDescent="0.2">
      <c r="C3017"/>
      <c r="M3017"/>
    </row>
    <row r="3018" spans="3:13" ht="12.75" customHeight="1" x14ac:dyDescent="0.2">
      <c r="C3018"/>
      <c r="M3018"/>
    </row>
    <row r="3019" spans="3:13" ht="12.75" customHeight="1" x14ac:dyDescent="0.2">
      <c r="C3019"/>
      <c r="M3019"/>
    </row>
    <row r="3020" spans="3:13" ht="12.75" customHeight="1" x14ac:dyDescent="0.2">
      <c r="C3020"/>
      <c r="M3020"/>
    </row>
    <row r="3021" spans="3:13" ht="12.75" customHeight="1" x14ac:dyDescent="0.2">
      <c r="C3021"/>
      <c r="M3021"/>
    </row>
    <row r="3022" spans="3:13" ht="12.75" customHeight="1" x14ac:dyDescent="0.2">
      <c r="C3022"/>
      <c r="M3022"/>
    </row>
    <row r="3023" spans="3:13" ht="12.75" customHeight="1" x14ac:dyDescent="0.2">
      <c r="C3023"/>
      <c r="M3023"/>
    </row>
    <row r="3024" spans="3:13" ht="12.75" customHeight="1" x14ac:dyDescent="0.2">
      <c r="C3024"/>
      <c r="M3024"/>
    </row>
    <row r="3025" spans="3:13" ht="12.75" customHeight="1" x14ac:dyDescent="0.2">
      <c r="C3025"/>
      <c r="M3025"/>
    </row>
    <row r="3026" spans="3:13" ht="12.75" customHeight="1" x14ac:dyDescent="0.2">
      <c r="C3026"/>
      <c r="M3026"/>
    </row>
    <row r="3027" spans="3:13" ht="12.75" customHeight="1" x14ac:dyDescent="0.2">
      <c r="C3027"/>
      <c r="M3027"/>
    </row>
    <row r="3028" spans="3:13" ht="12.75" customHeight="1" x14ac:dyDescent="0.2">
      <c r="C3028"/>
      <c r="M3028"/>
    </row>
    <row r="3029" spans="3:13" ht="12.75" customHeight="1" x14ac:dyDescent="0.2">
      <c r="C3029"/>
      <c r="M3029"/>
    </row>
    <row r="3030" spans="3:13" ht="12.75" customHeight="1" x14ac:dyDescent="0.2">
      <c r="C3030"/>
      <c r="M3030"/>
    </row>
    <row r="3031" spans="3:13" ht="12.75" customHeight="1" x14ac:dyDescent="0.2">
      <c r="C3031"/>
      <c r="M3031"/>
    </row>
    <row r="3032" spans="3:13" ht="12.75" customHeight="1" x14ac:dyDescent="0.2">
      <c r="C3032"/>
      <c r="M3032"/>
    </row>
    <row r="3033" spans="3:13" ht="12.75" customHeight="1" x14ac:dyDescent="0.2">
      <c r="C3033"/>
      <c r="M3033"/>
    </row>
    <row r="3034" spans="3:13" ht="12.75" customHeight="1" x14ac:dyDescent="0.2">
      <c r="C3034"/>
      <c r="M3034"/>
    </row>
    <row r="3035" spans="3:13" ht="12.75" customHeight="1" x14ac:dyDescent="0.2">
      <c r="C3035"/>
      <c r="M3035"/>
    </row>
    <row r="3036" spans="3:13" ht="12.75" customHeight="1" x14ac:dyDescent="0.2">
      <c r="C3036"/>
      <c r="M3036"/>
    </row>
    <row r="3037" spans="3:13" ht="12.75" customHeight="1" x14ac:dyDescent="0.2">
      <c r="C3037"/>
      <c r="M3037"/>
    </row>
    <row r="3038" spans="3:13" ht="12.75" customHeight="1" x14ac:dyDescent="0.2">
      <c r="C3038"/>
      <c r="M3038"/>
    </row>
    <row r="3039" spans="3:13" ht="12.75" customHeight="1" x14ac:dyDescent="0.2">
      <c r="C3039"/>
      <c r="M3039"/>
    </row>
    <row r="3040" spans="3:13" ht="12.75" customHeight="1" x14ac:dyDescent="0.2">
      <c r="C3040"/>
      <c r="M3040"/>
    </row>
    <row r="3041" spans="3:13" ht="12.75" customHeight="1" x14ac:dyDescent="0.2">
      <c r="C3041"/>
      <c r="M3041"/>
    </row>
    <row r="3042" spans="3:13" ht="12.75" customHeight="1" x14ac:dyDescent="0.2">
      <c r="C3042"/>
      <c r="M3042"/>
    </row>
    <row r="3043" spans="3:13" ht="12.75" customHeight="1" x14ac:dyDescent="0.2">
      <c r="C3043"/>
      <c r="M3043"/>
    </row>
    <row r="3044" spans="3:13" ht="12.75" customHeight="1" x14ac:dyDescent="0.2">
      <c r="C3044"/>
      <c r="M3044"/>
    </row>
    <row r="3045" spans="3:13" ht="12.75" customHeight="1" x14ac:dyDescent="0.2">
      <c r="C3045"/>
      <c r="M3045"/>
    </row>
    <row r="3046" spans="3:13" ht="12.75" customHeight="1" x14ac:dyDescent="0.2">
      <c r="C3046"/>
      <c r="M3046"/>
    </row>
    <row r="3047" spans="3:13" ht="12.75" customHeight="1" x14ac:dyDescent="0.2">
      <c r="C3047"/>
      <c r="M3047"/>
    </row>
    <row r="3048" spans="3:13" ht="12.75" customHeight="1" x14ac:dyDescent="0.2">
      <c r="C3048"/>
      <c r="M3048"/>
    </row>
    <row r="3049" spans="3:13" ht="12.75" customHeight="1" x14ac:dyDescent="0.2">
      <c r="C3049"/>
      <c r="M3049"/>
    </row>
    <row r="3050" spans="3:13" ht="12.75" customHeight="1" x14ac:dyDescent="0.2">
      <c r="C3050"/>
      <c r="M3050"/>
    </row>
    <row r="3051" spans="3:13" ht="12.75" customHeight="1" x14ac:dyDescent="0.2">
      <c r="C3051"/>
      <c r="M3051"/>
    </row>
    <row r="3052" spans="3:13" ht="12.75" customHeight="1" x14ac:dyDescent="0.2">
      <c r="C3052"/>
      <c r="M3052"/>
    </row>
    <row r="3053" spans="3:13" ht="12.75" customHeight="1" x14ac:dyDescent="0.2">
      <c r="C3053"/>
      <c r="M3053"/>
    </row>
    <row r="3054" spans="3:13" ht="12.75" customHeight="1" x14ac:dyDescent="0.2">
      <c r="C3054"/>
      <c r="M3054"/>
    </row>
    <row r="3055" spans="3:13" ht="12.75" customHeight="1" x14ac:dyDescent="0.2">
      <c r="C3055"/>
      <c r="M3055"/>
    </row>
    <row r="3056" spans="3:13" ht="12.75" customHeight="1" x14ac:dyDescent="0.2">
      <c r="C3056"/>
      <c r="M3056"/>
    </row>
    <row r="3057" spans="3:13" ht="12.75" customHeight="1" x14ac:dyDescent="0.2">
      <c r="C3057"/>
      <c r="M3057"/>
    </row>
    <row r="3058" spans="3:13" ht="12.75" customHeight="1" x14ac:dyDescent="0.2">
      <c r="C3058"/>
      <c r="M3058"/>
    </row>
    <row r="3059" spans="3:13" ht="12.75" customHeight="1" x14ac:dyDescent="0.2">
      <c r="C3059"/>
      <c r="M3059"/>
    </row>
    <row r="3060" spans="3:13" ht="12.75" customHeight="1" x14ac:dyDescent="0.2">
      <c r="C3060"/>
      <c r="M3060"/>
    </row>
    <row r="3061" spans="3:13" ht="12.75" customHeight="1" x14ac:dyDescent="0.2">
      <c r="C3061"/>
      <c r="M3061"/>
    </row>
    <row r="3062" spans="3:13" ht="12.75" customHeight="1" x14ac:dyDescent="0.2">
      <c r="C3062"/>
      <c r="M3062"/>
    </row>
    <row r="3063" spans="3:13" ht="12.75" customHeight="1" x14ac:dyDescent="0.2">
      <c r="C3063"/>
      <c r="M3063"/>
    </row>
    <row r="3064" spans="3:13" ht="12.75" customHeight="1" x14ac:dyDescent="0.2">
      <c r="C3064"/>
      <c r="M3064"/>
    </row>
    <row r="3065" spans="3:13" ht="12.75" customHeight="1" x14ac:dyDescent="0.2">
      <c r="C3065"/>
      <c r="M3065"/>
    </row>
    <row r="3066" spans="3:13" ht="12.75" customHeight="1" x14ac:dyDescent="0.2">
      <c r="C3066"/>
      <c r="M3066"/>
    </row>
    <row r="3067" spans="3:13" ht="12.75" customHeight="1" x14ac:dyDescent="0.2">
      <c r="C3067"/>
      <c r="M3067"/>
    </row>
    <row r="3068" spans="3:13" ht="12.75" customHeight="1" x14ac:dyDescent="0.2">
      <c r="C3068"/>
      <c r="M3068"/>
    </row>
    <row r="3069" spans="3:13" ht="12.75" customHeight="1" x14ac:dyDescent="0.2">
      <c r="C3069"/>
      <c r="M3069"/>
    </row>
    <row r="3070" spans="3:13" ht="12.75" customHeight="1" x14ac:dyDescent="0.2">
      <c r="C3070"/>
      <c r="M3070"/>
    </row>
    <row r="3071" spans="3:13" ht="12.75" customHeight="1" x14ac:dyDescent="0.2">
      <c r="C3071"/>
      <c r="M3071"/>
    </row>
    <row r="3072" spans="3:13" ht="12.75" customHeight="1" x14ac:dyDescent="0.2">
      <c r="C3072"/>
      <c r="M3072"/>
    </row>
    <row r="3073" spans="3:13" ht="12.75" customHeight="1" x14ac:dyDescent="0.2">
      <c r="C3073"/>
      <c r="M3073"/>
    </row>
    <row r="3074" spans="3:13" ht="12.75" customHeight="1" x14ac:dyDescent="0.2">
      <c r="C3074"/>
      <c r="M3074"/>
    </row>
    <row r="3075" spans="3:13" ht="12.75" customHeight="1" x14ac:dyDescent="0.2">
      <c r="C3075"/>
      <c r="M3075"/>
    </row>
    <row r="3076" spans="3:13" ht="12.75" customHeight="1" x14ac:dyDescent="0.2">
      <c r="C3076"/>
      <c r="M3076"/>
    </row>
    <row r="3077" spans="3:13" ht="12.75" customHeight="1" x14ac:dyDescent="0.2">
      <c r="C3077"/>
      <c r="M3077"/>
    </row>
    <row r="3078" spans="3:13" ht="12.75" customHeight="1" x14ac:dyDescent="0.2">
      <c r="C3078"/>
      <c r="M3078"/>
    </row>
    <row r="3079" spans="3:13" ht="12.75" customHeight="1" x14ac:dyDescent="0.2">
      <c r="C3079"/>
      <c r="M3079"/>
    </row>
    <row r="3080" spans="3:13" ht="12.75" customHeight="1" x14ac:dyDescent="0.2">
      <c r="C3080"/>
      <c r="M3080"/>
    </row>
    <row r="3081" spans="3:13" ht="12.75" customHeight="1" x14ac:dyDescent="0.2">
      <c r="C3081"/>
      <c r="M3081"/>
    </row>
    <row r="3082" spans="3:13" ht="12.75" customHeight="1" x14ac:dyDescent="0.2">
      <c r="C3082"/>
      <c r="M3082"/>
    </row>
    <row r="3083" spans="3:13" ht="12.75" customHeight="1" x14ac:dyDescent="0.2">
      <c r="C3083"/>
      <c r="M3083"/>
    </row>
    <row r="3084" spans="3:13" ht="12.75" customHeight="1" x14ac:dyDescent="0.2">
      <c r="C3084"/>
      <c r="M3084"/>
    </row>
    <row r="3085" spans="3:13" ht="12.75" customHeight="1" x14ac:dyDescent="0.2">
      <c r="C3085"/>
      <c r="M3085"/>
    </row>
    <row r="3086" spans="3:13" ht="12.75" customHeight="1" x14ac:dyDescent="0.2">
      <c r="C3086"/>
      <c r="M3086"/>
    </row>
    <row r="3087" spans="3:13" ht="12.75" customHeight="1" x14ac:dyDescent="0.2">
      <c r="C3087"/>
      <c r="M3087"/>
    </row>
    <row r="3088" spans="3:13" ht="12.75" customHeight="1" x14ac:dyDescent="0.2">
      <c r="C3088"/>
      <c r="M3088"/>
    </row>
    <row r="3089" spans="3:13" ht="12.75" customHeight="1" x14ac:dyDescent="0.2">
      <c r="C3089"/>
      <c r="M3089"/>
    </row>
    <row r="3090" spans="3:13" ht="12.75" customHeight="1" x14ac:dyDescent="0.2">
      <c r="C3090"/>
      <c r="M3090"/>
    </row>
    <row r="3091" spans="3:13" ht="12.75" customHeight="1" x14ac:dyDescent="0.2">
      <c r="C3091"/>
      <c r="M3091"/>
    </row>
    <row r="3092" spans="3:13" ht="12.75" customHeight="1" x14ac:dyDescent="0.2">
      <c r="C3092"/>
      <c r="M3092"/>
    </row>
    <row r="3093" spans="3:13" ht="12.75" customHeight="1" x14ac:dyDescent="0.2">
      <c r="C3093"/>
      <c r="M3093"/>
    </row>
    <row r="3094" spans="3:13" ht="12.75" customHeight="1" x14ac:dyDescent="0.2">
      <c r="C3094"/>
      <c r="M3094"/>
    </row>
    <row r="3095" spans="3:13" ht="12.75" customHeight="1" x14ac:dyDescent="0.2">
      <c r="C3095"/>
      <c r="M3095"/>
    </row>
    <row r="3096" spans="3:13" ht="12.75" customHeight="1" x14ac:dyDescent="0.2">
      <c r="C3096"/>
      <c r="M3096"/>
    </row>
    <row r="3097" spans="3:13" ht="12.75" customHeight="1" x14ac:dyDescent="0.2">
      <c r="C3097"/>
      <c r="M3097"/>
    </row>
    <row r="3098" spans="3:13" ht="12.75" customHeight="1" x14ac:dyDescent="0.2">
      <c r="C3098"/>
      <c r="M3098"/>
    </row>
    <row r="3099" spans="3:13" ht="12.75" customHeight="1" x14ac:dyDescent="0.2">
      <c r="C3099"/>
      <c r="M3099"/>
    </row>
    <row r="3100" spans="3:13" ht="12.75" customHeight="1" x14ac:dyDescent="0.2">
      <c r="C3100"/>
      <c r="M3100"/>
    </row>
    <row r="3101" spans="3:13" ht="12.75" customHeight="1" x14ac:dyDescent="0.2">
      <c r="C3101"/>
      <c r="M3101"/>
    </row>
    <row r="3102" spans="3:13" ht="12.75" customHeight="1" x14ac:dyDescent="0.2">
      <c r="C3102"/>
      <c r="M3102"/>
    </row>
    <row r="3103" spans="3:13" ht="12.75" customHeight="1" x14ac:dyDescent="0.2">
      <c r="C3103"/>
      <c r="M3103"/>
    </row>
    <row r="3104" spans="3:13" ht="12.75" customHeight="1" x14ac:dyDescent="0.2">
      <c r="C3104"/>
      <c r="M3104"/>
    </row>
    <row r="3105" spans="3:13" ht="12.75" customHeight="1" x14ac:dyDescent="0.2">
      <c r="C3105"/>
      <c r="M3105"/>
    </row>
    <row r="3106" spans="3:13" ht="12.75" customHeight="1" x14ac:dyDescent="0.2">
      <c r="C3106"/>
      <c r="M3106"/>
    </row>
    <row r="3107" spans="3:13" ht="12.75" customHeight="1" x14ac:dyDescent="0.2">
      <c r="C3107"/>
      <c r="M3107"/>
    </row>
    <row r="3108" spans="3:13" ht="12.75" customHeight="1" x14ac:dyDescent="0.2">
      <c r="C3108"/>
      <c r="M3108"/>
    </row>
    <row r="3109" spans="3:13" ht="12.75" customHeight="1" x14ac:dyDescent="0.2">
      <c r="C3109"/>
      <c r="M3109"/>
    </row>
    <row r="3110" spans="3:13" ht="12.75" customHeight="1" x14ac:dyDescent="0.2">
      <c r="C3110"/>
      <c r="M3110"/>
    </row>
    <row r="3111" spans="3:13" ht="12.75" customHeight="1" x14ac:dyDescent="0.2">
      <c r="C3111"/>
      <c r="M3111"/>
    </row>
    <row r="3112" spans="3:13" ht="12.75" customHeight="1" x14ac:dyDescent="0.2">
      <c r="C3112"/>
      <c r="M3112"/>
    </row>
    <row r="3113" spans="3:13" ht="12.75" customHeight="1" x14ac:dyDescent="0.2">
      <c r="C3113"/>
      <c r="M3113"/>
    </row>
    <row r="3114" spans="3:13" ht="12.75" customHeight="1" x14ac:dyDescent="0.2">
      <c r="C3114"/>
      <c r="M3114"/>
    </row>
    <row r="3115" spans="3:13" ht="12.75" customHeight="1" x14ac:dyDescent="0.2">
      <c r="C3115"/>
      <c r="M3115"/>
    </row>
    <row r="3116" spans="3:13" ht="12.75" customHeight="1" x14ac:dyDescent="0.2">
      <c r="C3116"/>
      <c r="M3116"/>
    </row>
    <row r="3117" spans="3:13" ht="12.75" customHeight="1" x14ac:dyDescent="0.2">
      <c r="C3117"/>
      <c r="M3117"/>
    </row>
    <row r="3118" spans="3:13" ht="12.75" customHeight="1" x14ac:dyDescent="0.2">
      <c r="C3118"/>
      <c r="M3118"/>
    </row>
    <row r="3119" spans="3:13" ht="12.75" customHeight="1" x14ac:dyDescent="0.2">
      <c r="C3119"/>
      <c r="M3119"/>
    </row>
    <row r="3120" spans="3:13" ht="12.75" customHeight="1" x14ac:dyDescent="0.2">
      <c r="C3120"/>
      <c r="M3120"/>
    </row>
    <row r="3121" spans="3:13" ht="12.75" customHeight="1" x14ac:dyDescent="0.2">
      <c r="C3121"/>
      <c r="M3121"/>
    </row>
    <row r="3122" spans="3:13" ht="12.75" customHeight="1" x14ac:dyDescent="0.2">
      <c r="C3122"/>
      <c r="M3122"/>
    </row>
    <row r="3123" spans="3:13" ht="12.75" customHeight="1" x14ac:dyDescent="0.2">
      <c r="C3123"/>
      <c r="M3123"/>
    </row>
    <row r="3124" spans="3:13" ht="12.75" customHeight="1" x14ac:dyDescent="0.2">
      <c r="C3124"/>
      <c r="M3124"/>
    </row>
    <row r="3125" spans="3:13" ht="12.75" customHeight="1" x14ac:dyDescent="0.2">
      <c r="C3125"/>
      <c r="M3125"/>
    </row>
    <row r="3126" spans="3:13" ht="12.75" customHeight="1" x14ac:dyDescent="0.2">
      <c r="C3126"/>
      <c r="M3126"/>
    </row>
    <row r="3127" spans="3:13" ht="12.75" customHeight="1" x14ac:dyDescent="0.2">
      <c r="C3127"/>
      <c r="M3127"/>
    </row>
    <row r="3128" spans="3:13" ht="12.75" customHeight="1" x14ac:dyDescent="0.2">
      <c r="C3128"/>
      <c r="M3128"/>
    </row>
    <row r="3129" spans="3:13" ht="12.75" customHeight="1" x14ac:dyDescent="0.2">
      <c r="C3129"/>
      <c r="M3129"/>
    </row>
    <row r="3130" spans="3:13" ht="12.75" customHeight="1" x14ac:dyDescent="0.2">
      <c r="C3130"/>
      <c r="M3130"/>
    </row>
    <row r="3131" spans="3:13" ht="12.75" customHeight="1" x14ac:dyDescent="0.2">
      <c r="C3131"/>
      <c r="M3131"/>
    </row>
    <row r="3132" spans="3:13" ht="12.75" customHeight="1" x14ac:dyDescent="0.2">
      <c r="C3132"/>
      <c r="M3132"/>
    </row>
    <row r="3133" spans="3:13" ht="12.75" customHeight="1" x14ac:dyDescent="0.2">
      <c r="C3133"/>
      <c r="M3133"/>
    </row>
    <row r="3134" spans="3:13" ht="12.75" customHeight="1" x14ac:dyDescent="0.2">
      <c r="C3134"/>
      <c r="M3134"/>
    </row>
    <row r="3135" spans="3:13" ht="12.75" customHeight="1" x14ac:dyDescent="0.2">
      <c r="C3135"/>
      <c r="M3135"/>
    </row>
    <row r="3136" spans="3:13" ht="12.75" customHeight="1" x14ac:dyDescent="0.2">
      <c r="C3136"/>
      <c r="M3136"/>
    </row>
    <row r="3137" spans="3:13" ht="12.75" customHeight="1" x14ac:dyDescent="0.2">
      <c r="C3137"/>
      <c r="M3137"/>
    </row>
    <row r="3138" spans="3:13" ht="12.75" customHeight="1" x14ac:dyDescent="0.2">
      <c r="C3138"/>
      <c r="M3138"/>
    </row>
    <row r="3139" spans="3:13" ht="12.75" customHeight="1" x14ac:dyDescent="0.2">
      <c r="C3139"/>
      <c r="M3139"/>
    </row>
    <row r="3140" spans="3:13" ht="12.75" customHeight="1" x14ac:dyDescent="0.2">
      <c r="C3140"/>
      <c r="M3140"/>
    </row>
    <row r="3141" spans="3:13" ht="12.75" customHeight="1" x14ac:dyDescent="0.2">
      <c r="C3141"/>
      <c r="M3141"/>
    </row>
    <row r="3142" spans="3:13" ht="12.75" customHeight="1" x14ac:dyDescent="0.2">
      <c r="C3142"/>
      <c r="M3142"/>
    </row>
    <row r="3143" spans="3:13" ht="12.75" customHeight="1" x14ac:dyDescent="0.2">
      <c r="C3143"/>
      <c r="M3143"/>
    </row>
    <row r="3144" spans="3:13" ht="12.75" customHeight="1" x14ac:dyDescent="0.2">
      <c r="C3144"/>
      <c r="M3144"/>
    </row>
    <row r="3145" spans="3:13" ht="12.75" customHeight="1" x14ac:dyDescent="0.2">
      <c r="C3145"/>
      <c r="M3145"/>
    </row>
    <row r="3146" spans="3:13" ht="12.75" customHeight="1" x14ac:dyDescent="0.2">
      <c r="C3146"/>
      <c r="M3146"/>
    </row>
    <row r="3147" spans="3:13" ht="12.75" customHeight="1" x14ac:dyDescent="0.2">
      <c r="C3147"/>
      <c r="M3147"/>
    </row>
    <row r="3148" spans="3:13" ht="12.75" customHeight="1" x14ac:dyDescent="0.2">
      <c r="C3148"/>
      <c r="M3148"/>
    </row>
    <row r="3149" spans="3:13" ht="12.75" customHeight="1" x14ac:dyDescent="0.2">
      <c r="C3149"/>
      <c r="M3149"/>
    </row>
    <row r="3150" spans="3:13" ht="12.75" customHeight="1" x14ac:dyDescent="0.2">
      <c r="C3150"/>
      <c r="M3150"/>
    </row>
    <row r="3151" spans="3:13" ht="12.75" customHeight="1" x14ac:dyDescent="0.2">
      <c r="C3151"/>
      <c r="M3151"/>
    </row>
    <row r="3152" spans="3:13" ht="12.75" customHeight="1" x14ac:dyDescent="0.2">
      <c r="C3152"/>
      <c r="M3152"/>
    </row>
    <row r="3153" spans="3:13" ht="12.75" customHeight="1" x14ac:dyDescent="0.2">
      <c r="C3153"/>
      <c r="M3153"/>
    </row>
    <row r="3154" spans="3:13" ht="12.75" customHeight="1" x14ac:dyDescent="0.2">
      <c r="C3154"/>
      <c r="M3154"/>
    </row>
    <row r="3155" spans="3:13" ht="12.75" customHeight="1" x14ac:dyDescent="0.2">
      <c r="C3155"/>
      <c r="M3155"/>
    </row>
    <row r="3156" spans="3:13" ht="12.75" customHeight="1" x14ac:dyDescent="0.2">
      <c r="C3156"/>
      <c r="M3156"/>
    </row>
    <row r="3157" spans="3:13" ht="12.75" customHeight="1" x14ac:dyDescent="0.2">
      <c r="C3157"/>
      <c r="M3157"/>
    </row>
    <row r="3158" spans="3:13" ht="12.75" customHeight="1" x14ac:dyDescent="0.2">
      <c r="C3158"/>
      <c r="M3158"/>
    </row>
    <row r="3159" spans="3:13" ht="12.75" customHeight="1" x14ac:dyDescent="0.2">
      <c r="C3159"/>
      <c r="M3159"/>
    </row>
    <row r="3160" spans="3:13" ht="12.75" customHeight="1" x14ac:dyDescent="0.2">
      <c r="C3160"/>
      <c r="M3160"/>
    </row>
    <row r="3161" spans="3:13" ht="12.75" customHeight="1" x14ac:dyDescent="0.2">
      <c r="C3161"/>
      <c r="M3161"/>
    </row>
    <row r="3162" spans="3:13" ht="12.75" customHeight="1" x14ac:dyDescent="0.2">
      <c r="C3162"/>
      <c r="M3162"/>
    </row>
    <row r="3163" spans="3:13" ht="12.75" customHeight="1" x14ac:dyDescent="0.2">
      <c r="C3163"/>
      <c r="M3163"/>
    </row>
    <row r="3164" spans="3:13" ht="12.75" customHeight="1" x14ac:dyDescent="0.2">
      <c r="C3164"/>
      <c r="M3164"/>
    </row>
    <row r="3165" spans="3:13" ht="12.75" customHeight="1" x14ac:dyDescent="0.2">
      <c r="C3165"/>
      <c r="M3165"/>
    </row>
    <row r="3166" spans="3:13" ht="12.75" customHeight="1" x14ac:dyDescent="0.2">
      <c r="C3166"/>
      <c r="M3166"/>
    </row>
    <row r="3167" spans="3:13" ht="12.75" customHeight="1" x14ac:dyDescent="0.2">
      <c r="C3167"/>
      <c r="M3167"/>
    </row>
    <row r="3168" spans="3:13" ht="12.75" customHeight="1" x14ac:dyDescent="0.2">
      <c r="C3168"/>
      <c r="M3168"/>
    </row>
    <row r="3169" spans="3:13" ht="12.75" customHeight="1" x14ac:dyDescent="0.2">
      <c r="C3169"/>
      <c r="M3169"/>
    </row>
    <row r="3170" spans="3:13" ht="12.75" customHeight="1" x14ac:dyDescent="0.2">
      <c r="C3170"/>
      <c r="M3170"/>
    </row>
    <row r="3171" spans="3:13" ht="12.75" customHeight="1" x14ac:dyDescent="0.2">
      <c r="C3171"/>
      <c r="M3171"/>
    </row>
    <row r="3172" spans="3:13" ht="12.75" customHeight="1" x14ac:dyDescent="0.2">
      <c r="C3172"/>
      <c r="M3172"/>
    </row>
    <row r="3173" spans="3:13" ht="12.75" customHeight="1" x14ac:dyDescent="0.2">
      <c r="C3173"/>
      <c r="M3173"/>
    </row>
    <row r="3174" spans="3:13" ht="12.75" customHeight="1" x14ac:dyDescent="0.2">
      <c r="C3174"/>
      <c r="M3174"/>
    </row>
    <row r="3175" spans="3:13" ht="12.75" customHeight="1" x14ac:dyDescent="0.2">
      <c r="C3175"/>
      <c r="M3175"/>
    </row>
    <row r="3176" spans="3:13" ht="12.75" customHeight="1" x14ac:dyDescent="0.2">
      <c r="C3176"/>
      <c r="M3176"/>
    </row>
    <row r="3177" spans="3:13" ht="12.75" customHeight="1" x14ac:dyDescent="0.2">
      <c r="C3177"/>
      <c r="M3177"/>
    </row>
    <row r="3178" spans="3:13" ht="12.75" customHeight="1" x14ac:dyDescent="0.2">
      <c r="C3178"/>
      <c r="M3178"/>
    </row>
    <row r="3179" spans="3:13" ht="12.75" customHeight="1" x14ac:dyDescent="0.2">
      <c r="C3179"/>
      <c r="M3179"/>
    </row>
    <row r="3180" spans="3:13" ht="12.75" customHeight="1" x14ac:dyDescent="0.2">
      <c r="C3180"/>
      <c r="M3180"/>
    </row>
    <row r="3181" spans="3:13" ht="12.75" customHeight="1" x14ac:dyDescent="0.2">
      <c r="C3181"/>
      <c r="M3181"/>
    </row>
    <row r="3182" spans="3:13" ht="12.75" customHeight="1" x14ac:dyDescent="0.2">
      <c r="C3182"/>
      <c r="M3182"/>
    </row>
    <row r="3183" spans="3:13" ht="12.75" customHeight="1" x14ac:dyDescent="0.2">
      <c r="C3183"/>
      <c r="M3183"/>
    </row>
    <row r="3184" spans="3:13" ht="12.75" customHeight="1" x14ac:dyDescent="0.2">
      <c r="C3184"/>
      <c r="M3184"/>
    </row>
    <row r="3185" spans="3:13" ht="12.75" customHeight="1" x14ac:dyDescent="0.2">
      <c r="C3185"/>
      <c r="M3185"/>
    </row>
    <row r="3186" spans="3:13" ht="12.75" customHeight="1" x14ac:dyDescent="0.2">
      <c r="C3186"/>
      <c r="M3186"/>
    </row>
    <row r="3187" spans="3:13" ht="12.75" customHeight="1" x14ac:dyDescent="0.2">
      <c r="C3187"/>
      <c r="M3187"/>
    </row>
    <row r="3188" spans="3:13" ht="12.75" customHeight="1" x14ac:dyDescent="0.2">
      <c r="C3188"/>
      <c r="M3188"/>
    </row>
    <row r="3189" spans="3:13" ht="12.75" customHeight="1" x14ac:dyDescent="0.2">
      <c r="C3189"/>
      <c r="M3189"/>
    </row>
    <row r="3190" spans="3:13" ht="12.75" customHeight="1" x14ac:dyDescent="0.2">
      <c r="C3190"/>
      <c r="M3190"/>
    </row>
    <row r="3191" spans="3:13" ht="12.75" customHeight="1" x14ac:dyDescent="0.2">
      <c r="C3191"/>
      <c r="M3191"/>
    </row>
    <row r="3192" spans="3:13" ht="12.75" customHeight="1" x14ac:dyDescent="0.2">
      <c r="C3192"/>
      <c r="M3192"/>
    </row>
    <row r="3193" spans="3:13" ht="12.75" customHeight="1" x14ac:dyDescent="0.2">
      <c r="C3193"/>
      <c r="M3193"/>
    </row>
    <row r="3194" spans="3:13" ht="12.75" customHeight="1" x14ac:dyDescent="0.2">
      <c r="C3194"/>
      <c r="M3194"/>
    </row>
    <row r="3195" spans="3:13" ht="12.75" customHeight="1" x14ac:dyDescent="0.2">
      <c r="C3195"/>
      <c r="M3195"/>
    </row>
    <row r="3196" spans="3:13" ht="12.75" customHeight="1" x14ac:dyDescent="0.2">
      <c r="C3196"/>
      <c r="M3196"/>
    </row>
    <row r="3197" spans="3:13" ht="12.75" customHeight="1" x14ac:dyDescent="0.2">
      <c r="C3197"/>
      <c r="M3197"/>
    </row>
    <row r="3198" spans="3:13" ht="12.75" customHeight="1" x14ac:dyDescent="0.2">
      <c r="C3198"/>
      <c r="M3198"/>
    </row>
    <row r="3199" spans="3:13" ht="12.75" customHeight="1" x14ac:dyDescent="0.2">
      <c r="C3199"/>
      <c r="M3199"/>
    </row>
    <row r="3200" spans="3:13" ht="12.75" customHeight="1" x14ac:dyDescent="0.2">
      <c r="C3200"/>
      <c r="M3200"/>
    </row>
    <row r="3201" spans="3:13" ht="12.75" customHeight="1" x14ac:dyDescent="0.2">
      <c r="C3201"/>
      <c r="M3201"/>
    </row>
    <row r="3202" spans="3:13" ht="12.75" customHeight="1" x14ac:dyDescent="0.2">
      <c r="C3202"/>
      <c r="M3202"/>
    </row>
    <row r="3203" spans="3:13" ht="12.75" customHeight="1" x14ac:dyDescent="0.2">
      <c r="C3203"/>
      <c r="M3203"/>
    </row>
    <row r="3204" spans="3:13" ht="12.75" customHeight="1" x14ac:dyDescent="0.2">
      <c r="C3204"/>
      <c r="M3204"/>
    </row>
    <row r="3205" spans="3:13" ht="12.75" customHeight="1" x14ac:dyDescent="0.2">
      <c r="C3205"/>
      <c r="M3205"/>
    </row>
    <row r="3206" spans="3:13" ht="12.75" customHeight="1" x14ac:dyDescent="0.2">
      <c r="C3206"/>
      <c r="M3206"/>
    </row>
    <row r="3207" spans="3:13" ht="12.75" customHeight="1" x14ac:dyDescent="0.2">
      <c r="C3207"/>
      <c r="M3207"/>
    </row>
    <row r="3208" spans="3:13" ht="12.75" customHeight="1" x14ac:dyDescent="0.2">
      <c r="C3208"/>
      <c r="M3208"/>
    </row>
    <row r="3209" spans="3:13" ht="12.75" customHeight="1" x14ac:dyDescent="0.2">
      <c r="C3209"/>
      <c r="M3209"/>
    </row>
    <row r="3210" spans="3:13" ht="12.75" customHeight="1" x14ac:dyDescent="0.2">
      <c r="C3210"/>
      <c r="M3210"/>
    </row>
    <row r="3211" spans="3:13" ht="12.75" customHeight="1" x14ac:dyDescent="0.2">
      <c r="C3211"/>
      <c r="M3211"/>
    </row>
    <row r="3212" spans="3:13" ht="12.75" customHeight="1" x14ac:dyDescent="0.2">
      <c r="C3212"/>
      <c r="M3212"/>
    </row>
    <row r="3213" spans="3:13" ht="12.75" customHeight="1" x14ac:dyDescent="0.2">
      <c r="C3213"/>
      <c r="M3213"/>
    </row>
    <row r="3214" spans="3:13" ht="12.75" customHeight="1" x14ac:dyDescent="0.2">
      <c r="C3214"/>
      <c r="M3214"/>
    </row>
    <row r="3215" spans="3:13" ht="12.75" customHeight="1" x14ac:dyDescent="0.2">
      <c r="C3215"/>
      <c r="M3215"/>
    </row>
    <row r="3216" spans="3:13" ht="12.75" customHeight="1" x14ac:dyDescent="0.2">
      <c r="C3216"/>
      <c r="M3216"/>
    </row>
    <row r="3217" spans="3:13" ht="12.75" customHeight="1" x14ac:dyDescent="0.2">
      <c r="C3217"/>
      <c r="M3217"/>
    </row>
    <row r="3218" spans="3:13" ht="12.75" customHeight="1" x14ac:dyDescent="0.2">
      <c r="C3218"/>
      <c r="M3218"/>
    </row>
    <row r="3219" spans="3:13" ht="12.75" customHeight="1" x14ac:dyDescent="0.2">
      <c r="C3219"/>
      <c r="M3219"/>
    </row>
    <row r="3220" spans="3:13" ht="12.75" customHeight="1" x14ac:dyDescent="0.2">
      <c r="C3220"/>
      <c r="M3220"/>
    </row>
    <row r="3221" spans="3:13" ht="12.75" customHeight="1" x14ac:dyDescent="0.2">
      <c r="C3221"/>
      <c r="M3221"/>
    </row>
    <row r="3222" spans="3:13" ht="12.75" customHeight="1" x14ac:dyDescent="0.2">
      <c r="C3222"/>
      <c r="M3222"/>
    </row>
    <row r="3223" spans="3:13" ht="12.75" customHeight="1" x14ac:dyDescent="0.2">
      <c r="C3223"/>
      <c r="M3223"/>
    </row>
    <row r="3224" spans="3:13" ht="12.75" customHeight="1" x14ac:dyDescent="0.2">
      <c r="C3224"/>
      <c r="M3224"/>
    </row>
    <row r="3225" spans="3:13" ht="12.75" customHeight="1" x14ac:dyDescent="0.2">
      <c r="C3225"/>
      <c r="M3225"/>
    </row>
    <row r="3226" spans="3:13" ht="12.75" customHeight="1" x14ac:dyDescent="0.2">
      <c r="C3226"/>
      <c r="M3226"/>
    </row>
    <row r="3227" spans="3:13" ht="12.75" customHeight="1" x14ac:dyDescent="0.2">
      <c r="C3227"/>
      <c r="M3227"/>
    </row>
    <row r="3228" spans="3:13" ht="12.75" customHeight="1" x14ac:dyDescent="0.2">
      <c r="C3228"/>
      <c r="M3228"/>
    </row>
    <row r="3229" spans="3:13" ht="12.75" customHeight="1" x14ac:dyDescent="0.2">
      <c r="C3229"/>
      <c r="M3229"/>
    </row>
    <row r="3230" spans="3:13" ht="12.75" customHeight="1" x14ac:dyDescent="0.2">
      <c r="C3230"/>
      <c r="M3230"/>
    </row>
    <row r="3231" spans="3:13" ht="12.75" customHeight="1" x14ac:dyDescent="0.2">
      <c r="C3231"/>
      <c r="M3231"/>
    </row>
    <row r="3232" spans="3:13" ht="12.75" customHeight="1" x14ac:dyDescent="0.2">
      <c r="C3232"/>
      <c r="M3232"/>
    </row>
    <row r="3233" spans="3:13" ht="12.75" customHeight="1" x14ac:dyDescent="0.2">
      <c r="C3233"/>
      <c r="M3233"/>
    </row>
    <row r="3234" spans="3:13" ht="12.75" customHeight="1" x14ac:dyDescent="0.2">
      <c r="C3234"/>
      <c r="M3234"/>
    </row>
    <row r="3235" spans="3:13" ht="12.75" customHeight="1" x14ac:dyDescent="0.2">
      <c r="C3235"/>
      <c r="M3235"/>
    </row>
    <row r="3236" spans="3:13" ht="12.75" customHeight="1" x14ac:dyDescent="0.2">
      <c r="C3236"/>
      <c r="M3236"/>
    </row>
    <row r="3237" spans="3:13" ht="12.75" customHeight="1" x14ac:dyDescent="0.2">
      <c r="C3237"/>
      <c r="M3237"/>
    </row>
    <row r="3238" spans="3:13" ht="12.75" customHeight="1" x14ac:dyDescent="0.2">
      <c r="C3238"/>
      <c r="M3238"/>
    </row>
    <row r="3239" spans="3:13" ht="12.75" customHeight="1" x14ac:dyDescent="0.2">
      <c r="C3239"/>
      <c r="M3239"/>
    </row>
    <row r="3240" spans="3:13" ht="12.75" customHeight="1" x14ac:dyDescent="0.2">
      <c r="C3240"/>
      <c r="M3240"/>
    </row>
    <row r="3241" spans="3:13" ht="12.75" customHeight="1" x14ac:dyDescent="0.2">
      <c r="C3241"/>
      <c r="M3241"/>
    </row>
    <row r="3242" spans="3:13" ht="12.75" customHeight="1" x14ac:dyDescent="0.2">
      <c r="C3242"/>
      <c r="M3242"/>
    </row>
    <row r="3243" spans="3:13" ht="12.75" customHeight="1" x14ac:dyDescent="0.2">
      <c r="C3243"/>
      <c r="M3243"/>
    </row>
    <row r="3244" spans="3:13" ht="12.75" customHeight="1" x14ac:dyDescent="0.2">
      <c r="C3244"/>
      <c r="M3244"/>
    </row>
    <row r="3245" spans="3:13" ht="12.75" customHeight="1" x14ac:dyDescent="0.2">
      <c r="C3245"/>
      <c r="M3245"/>
    </row>
    <row r="3246" spans="3:13" ht="12.75" customHeight="1" x14ac:dyDescent="0.2">
      <c r="C3246"/>
      <c r="M3246"/>
    </row>
    <row r="3247" spans="3:13" ht="12.75" customHeight="1" x14ac:dyDescent="0.2">
      <c r="C3247"/>
      <c r="M3247"/>
    </row>
    <row r="3248" spans="3:13" ht="12.75" customHeight="1" x14ac:dyDescent="0.2">
      <c r="C3248"/>
      <c r="M3248"/>
    </row>
    <row r="3249" spans="3:13" ht="12.75" customHeight="1" x14ac:dyDescent="0.2">
      <c r="C3249"/>
      <c r="M3249"/>
    </row>
    <row r="3250" spans="3:13" ht="12.75" customHeight="1" x14ac:dyDescent="0.2">
      <c r="C3250"/>
      <c r="M3250"/>
    </row>
    <row r="3251" spans="3:13" ht="12.75" customHeight="1" x14ac:dyDescent="0.2">
      <c r="C3251"/>
      <c r="M3251"/>
    </row>
    <row r="3252" spans="3:13" ht="12.75" customHeight="1" x14ac:dyDescent="0.2">
      <c r="C3252"/>
      <c r="M3252"/>
    </row>
    <row r="3253" spans="3:13" ht="12.75" customHeight="1" x14ac:dyDescent="0.2">
      <c r="C3253"/>
      <c r="M3253"/>
    </row>
    <row r="3254" spans="3:13" ht="12.75" customHeight="1" x14ac:dyDescent="0.2">
      <c r="C3254"/>
      <c r="M3254"/>
    </row>
    <row r="3255" spans="3:13" ht="12.75" customHeight="1" x14ac:dyDescent="0.2">
      <c r="C3255"/>
      <c r="M3255"/>
    </row>
    <row r="3256" spans="3:13" ht="12.75" customHeight="1" x14ac:dyDescent="0.2">
      <c r="C3256"/>
      <c r="M3256"/>
    </row>
    <row r="3257" spans="3:13" ht="12.75" customHeight="1" x14ac:dyDescent="0.2">
      <c r="C3257"/>
      <c r="M3257"/>
    </row>
    <row r="3258" spans="3:13" ht="12.75" customHeight="1" x14ac:dyDescent="0.2">
      <c r="C3258"/>
      <c r="M3258"/>
    </row>
    <row r="3259" spans="3:13" ht="12.75" customHeight="1" x14ac:dyDescent="0.2">
      <c r="C3259"/>
      <c r="M3259"/>
    </row>
    <row r="3260" spans="3:13" ht="12.75" customHeight="1" x14ac:dyDescent="0.2">
      <c r="C3260"/>
      <c r="M3260"/>
    </row>
    <row r="3261" spans="3:13" ht="12.75" customHeight="1" x14ac:dyDescent="0.2">
      <c r="C3261"/>
      <c r="M3261"/>
    </row>
    <row r="3262" spans="3:13" ht="12.75" customHeight="1" x14ac:dyDescent="0.2">
      <c r="C3262"/>
      <c r="M3262"/>
    </row>
    <row r="3263" spans="3:13" ht="12.75" customHeight="1" x14ac:dyDescent="0.2">
      <c r="C3263"/>
      <c r="M3263"/>
    </row>
    <row r="3264" spans="3:13" ht="12.75" customHeight="1" x14ac:dyDescent="0.2">
      <c r="C3264"/>
      <c r="M3264"/>
    </row>
    <row r="3265" spans="3:13" ht="12.75" customHeight="1" x14ac:dyDescent="0.2">
      <c r="C3265"/>
      <c r="M3265"/>
    </row>
    <row r="3266" spans="3:13" ht="12.75" customHeight="1" x14ac:dyDescent="0.2">
      <c r="C3266"/>
      <c r="M3266"/>
    </row>
    <row r="3267" spans="3:13" ht="12.75" customHeight="1" x14ac:dyDescent="0.2">
      <c r="C3267"/>
      <c r="M3267"/>
    </row>
    <row r="3268" spans="3:13" ht="12.75" customHeight="1" x14ac:dyDescent="0.2">
      <c r="C3268"/>
      <c r="M3268"/>
    </row>
    <row r="3269" spans="3:13" ht="12.75" customHeight="1" x14ac:dyDescent="0.2">
      <c r="C3269"/>
      <c r="M3269"/>
    </row>
    <row r="3270" spans="3:13" ht="12.75" customHeight="1" x14ac:dyDescent="0.2">
      <c r="C3270"/>
      <c r="M3270"/>
    </row>
    <row r="3271" spans="3:13" ht="12.75" customHeight="1" x14ac:dyDescent="0.2">
      <c r="C3271"/>
      <c r="M3271"/>
    </row>
    <row r="3272" spans="3:13" ht="12.75" customHeight="1" x14ac:dyDescent="0.2">
      <c r="C3272"/>
      <c r="M3272"/>
    </row>
    <row r="3273" spans="3:13" ht="12.75" customHeight="1" x14ac:dyDescent="0.2">
      <c r="C3273"/>
      <c r="M3273"/>
    </row>
    <row r="3274" spans="3:13" ht="12.75" customHeight="1" x14ac:dyDescent="0.2">
      <c r="C3274"/>
      <c r="M3274"/>
    </row>
    <row r="3275" spans="3:13" ht="12.75" customHeight="1" x14ac:dyDescent="0.2">
      <c r="C3275"/>
      <c r="M3275"/>
    </row>
    <row r="3276" spans="3:13" ht="12.75" customHeight="1" x14ac:dyDescent="0.2">
      <c r="C3276"/>
      <c r="M3276"/>
    </row>
    <row r="3277" spans="3:13" ht="12.75" customHeight="1" x14ac:dyDescent="0.2">
      <c r="C3277"/>
      <c r="M3277"/>
    </row>
    <row r="3278" spans="3:13" ht="12.75" customHeight="1" x14ac:dyDescent="0.2">
      <c r="C3278"/>
      <c r="M3278"/>
    </row>
    <row r="3279" spans="3:13" ht="12.75" customHeight="1" x14ac:dyDescent="0.2">
      <c r="C3279"/>
      <c r="M3279"/>
    </row>
    <row r="3280" spans="3:13" ht="12.75" customHeight="1" x14ac:dyDescent="0.2">
      <c r="C3280"/>
      <c r="M3280"/>
    </row>
    <row r="3281" spans="3:13" ht="12.75" customHeight="1" x14ac:dyDescent="0.2">
      <c r="C3281"/>
      <c r="M3281"/>
    </row>
    <row r="3282" spans="3:13" ht="12.75" customHeight="1" x14ac:dyDescent="0.2">
      <c r="C3282"/>
      <c r="M3282"/>
    </row>
    <row r="3283" spans="3:13" ht="12.75" customHeight="1" x14ac:dyDescent="0.2">
      <c r="C3283"/>
      <c r="M3283"/>
    </row>
    <row r="3284" spans="3:13" ht="12.75" customHeight="1" x14ac:dyDescent="0.2">
      <c r="C3284"/>
      <c r="M3284"/>
    </row>
    <row r="3285" spans="3:13" ht="12.75" customHeight="1" x14ac:dyDescent="0.2">
      <c r="C3285"/>
      <c r="M3285"/>
    </row>
    <row r="3286" spans="3:13" ht="12.75" customHeight="1" x14ac:dyDescent="0.2">
      <c r="C3286"/>
      <c r="M3286"/>
    </row>
    <row r="3287" spans="3:13" ht="12.75" customHeight="1" x14ac:dyDescent="0.2">
      <c r="C3287"/>
      <c r="M3287"/>
    </row>
    <row r="3288" spans="3:13" ht="12.75" customHeight="1" x14ac:dyDescent="0.2">
      <c r="C3288"/>
      <c r="M3288"/>
    </row>
    <row r="3289" spans="3:13" ht="12.75" customHeight="1" x14ac:dyDescent="0.2">
      <c r="C3289"/>
      <c r="M3289"/>
    </row>
    <row r="3290" spans="3:13" ht="12.75" customHeight="1" x14ac:dyDescent="0.2">
      <c r="C3290"/>
      <c r="M3290"/>
    </row>
    <row r="3291" spans="3:13" ht="12.75" customHeight="1" x14ac:dyDescent="0.2">
      <c r="C3291"/>
      <c r="M3291"/>
    </row>
    <row r="3292" spans="3:13" ht="12.75" customHeight="1" x14ac:dyDescent="0.2">
      <c r="C3292"/>
      <c r="M3292"/>
    </row>
    <row r="3293" spans="3:13" ht="12.75" customHeight="1" x14ac:dyDescent="0.2">
      <c r="C3293"/>
      <c r="M3293"/>
    </row>
    <row r="3294" spans="3:13" ht="12.75" customHeight="1" x14ac:dyDescent="0.2">
      <c r="C3294"/>
      <c r="M3294"/>
    </row>
    <row r="3295" spans="3:13" ht="12.75" customHeight="1" x14ac:dyDescent="0.2">
      <c r="C3295"/>
      <c r="M3295"/>
    </row>
    <row r="3296" spans="3:13" ht="12.75" customHeight="1" x14ac:dyDescent="0.2">
      <c r="C3296"/>
      <c r="M3296"/>
    </row>
    <row r="3297" spans="3:13" ht="12.75" customHeight="1" x14ac:dyDescent="0.2">
      <c r="C3297"/>
      <c r="M3297"/>
    </row>
    <row r="3298" spans="3:13" ht="12.75" customHeight="1" x14ac:dyDescent="0.2">
      <c r="C3298"/>
      <c r="M3298"/>
    </row>
    <row r="3299" spans="3:13" ht="12.75" customHeight="1" x14ac:dyDescent="0.2">
      <c r="C3299"/>
      <c r="M3299"/>
    </row>
    <row r="3300" spans="3:13" ht="12.75" customHeight="1" x14ac:dyDescent="0.2">
      <c r="C3300"/>
      <c r="M3300"/>
    </row>
    <row r="3301" spans="3:13" ht="12.75" customHeight="1" x14ac:dyDescent="0.2">
      <c r="C3301"/>
      <c r="M3301"/>
    </row>
    <row r="3302" spans="3:13" ht="12.75" customHeight="1" x14ac:dyDescent="0.2">
      <c r="C3302"/>
      <c r="M3302"/>
    </row>
    <row r="3303" spans="3:13" ht="12.75" customHeight="1" x14ac:dyDescent="0.2">
      <c r="C3303"/>
      <c r="M3303"/>
    </row>
    <row r="3304" spans="3:13" ht="12.75" customHeight="1" x14ac:dyDescent="0.2">
      <c r="C3304"/>
      <c r="M3304"/>
    </row>
    <row r="3305" spans="3:13" ht="12.75" customHeight="1" x14ac:dyDescent="0.2">
      <c r="C3305"/>
      <c r="M3305"/>
    </row>
    <row r="3306" spans="3:13" ht="12.75" customHeight="1" x14ac:dyDescent="0.2">
      <c r="C3306"/>
      <c r="M3306"/>
    </row>
    <row r="3307" spans="3:13" ht="12.75" customHeight="1" x14ac:dyDescent="0.2">
      <c r="C3307"/>
      <c r="M3307"/>
    </row>
    <row r="3308" spans="3:13" ht="12.75" customHeight="1" x14ac:dyDescent="0.2">
      <c r="C3308"/>
      <c r="M3308"/>
    </row>
    <row r="3309" spans="3:13" ht="12.75" customHeight="1" x14ac:dyDescent="0.2">
      <c r="C3309"/>
      <c r="M3309"/>
    </row>
    <row r="3310" spans="3:13" ht="12.75" customHeight="1" x14ac:dyDescent="0.2">
      <c r="C3310"/>
      <c r="M3310"/>
    </row>
    <row r="3311" spans="3:13" ht="12.75" customHeight="1" x14ac:dyDescent="0.2">
      <c r="C3311"/>
      <c r="M3311"/>
    </row>
    <row r="3312" spans="3:13" ht="12.75" customHeight="1" x14ac:dyDescent="0.2">
      <c r="C3312"/>
      <c r="M3312"/>
    </row>
    <row r="3313" spans="3:13" ht="12.75" customHeight="1" x14ac:dyDescent="0.2">
      <c r="C3313"/>
      <c r="M3313"/>
    </row>
    <row r="3314" spans="3:13" ht="12.75" customHeight="1" x14ac:dyDescent="0.2">
      <c r="C3314"/>
      <c r="M3314"/>
    </row>
    <row r="3315" spans="3:13" ht="12.75" customHeight="1" x14ac:dyDescent="0.2">
      <c r="C3315"/>
      <c r="M3315"/>
    </row>
    <row r="3316" spans="3:13" ht="12.75" customHeight="1" x14ac:dyDescent="0.2">
      <c r="C3316"/>
      <c r="M3316"/>
    </row>
    <row r="3317" spans="3:13" ht="12.75" customHeight="1" x14ac:dyDescent="0.2">
      <c r="C3317"/>
      <c r="M3317"/>
    </row>
    <row r="3318" spans="3:13" ht="12.75" customHeight="1" x14ac:dyDescent="0.2">
      <c r="C3318"/>
      <c r="M3318"/>
    </row>
    <row r="3319" spans="3:13" ht="12.75" customHeight="1" x14ac:dyDescent="0.2">
      <c r="C3319"/>
      <c r="M3319"/>
    </row>
    <row r="3320" spans="3:13" ht="12.75" customHeight="1" x14ac:dyDescent="0.2">
      <c r="C3320"/>
      <c r="M3320"/>
    </row>
    <row r="3321" spans="3:13" ht="12.75" customHeight="1" x14ac:dyDescent="0.2">
      <c r="C3321"/>
      <c r="M3321"/>
    </row>
    <row r="3322" spans="3:13" ht="12.75" customHeight="1" x14ac:dyDescent="0.2">
      <c r="C3322"/>
      <c r="M3322"/>
    </row>
    <row r="3323" spans="3:13" ht="12.75" customHeight="1" x14ac:dyDescent="0.2">
      <c r="C3323"/>
      <c r="M3323"/>
    </row>
    <row r="3324" spans="3:13" ht="12.75" customHeight="1" x14ac:dyDescent="0.2">
      <c r="C3324"/>
      <c r="M3324"/>
    </row>
    <row r="3325" spans="3:13" ht="12.75" customHeight="1" x14ac:dyDescent="0.2">
      <c r="C3325"/>
      <c r="M3325"/>
    </row>
    <row r="3326" spans="3:13" ht="12.75" customHeight="1" x14ac:dyDescent="0.2">
      <c r="C3326"/>
      <c r="M3326"/>
    </row>
    <row r="3327" spans="3:13" ht="12.75" customHeight="1" x14ac:dyDescent="0.2">
      <c r="C3327"/>
      <c r="M3327"/>
    </row>
    <row r="3328" spans="3:13" ht="12.75" customHeight="1" x14ac:dyDescent="0.2">
      <c r="C3328"/>
      <c r="M3328"/>
    </row>
    <row r="3329" spans="3:13" ht="12.75" customHeight="1" x14ac:dyDescent="0.2">
      <c r="C3329"/>
      <c r="M3329"/>
    </row>
    <row r="3330" spans="3:13" ht="12.75" customHeight="1" x14ac:dyDescent="0.2">
      <c r="C3330"/>
      <c r="M3330"/>
    </row>
    <row r="3331" spans="3:13" ht="12.75" customHeight="1" x14ac:dyDescent="0.2">
      <c r="C3331"/>
      <c r="M3331"/>
    </row>
    <row r="3332" spans="3:13" ht="12.75" customHeight="1" x14ac:dyDescent="0.2">
      <c r="C3332"/>
      <c r="M3332"/>
    </row>
    <row r="3333" spans="3:13" ht="12.75" customHeight="1" x14ac:dyDescent="0.2">
      <c r="C3333"/>
      <c r="M3333"/>
    </row>
    <row r="3334" spans="3:13" ht="12.75" customHeight="1" x14ac:dyDescent="0.2">
      <c r="C3334"/>
      <c r="M3334"/>
    </row>
    <row r="3335" spans="3:13" ht="12.75" customHeight="1" x14ac:dyDescent="0.2">
      <c r="C3335"/>
      <c r="M3335"/>
    </row>
    <row r="3336" spans="3:13" ht="12.75" customHeight="1" x14ac:dyDescent="0.2">
      <c r="C3336"/>
      <c r="M3336"/>
    </row>
    <row r="3337" spans="3:13" ht="12.75" customHeight="1" x14ac:dyDescent="0.2">
      <c r="C3337"/>
      <c r="M3337"/>
    </row>
    <row r="3338" spans="3:13" ht="12.75" customHeight="1" x14ac:dyDescent="0.2">
      <c r="C3338"/>
      <c r="M3338"/>
    </row>
    <row r="3339" spans="3:13" ht="12.75" customHeight="1" x14ac:dyDescent="0.2">
      <c r="C3339"/>
      <c r="M3339"/>
    </row>
    <row r="3340" spans="3:13" ht="12.75" customHeight="1" x14ac:dyDescent="0.2">
      <c r="C3340"/>
      <c r="M3340"/>
    </row>
    <row r="3341" spans="3:13" ht="12.75" customHeight="1" x14ac:dyDescent="0.2">
      <c r="C3341"/>
      <c r="M3341"/>
    </row>
    <row r="3342" spans="3:13" ht="12.75" customHeight="1" x14ac:dyDescent="0.2">
      <c r="C3342"/>
      <c r="M3342"/>
    </row>
    <row r="3343" spans="3:13" ht="12.75" customHeight="1" x14ac:dyDescent="0.2">
      <c r="C3343"/>
      <c r="M3343"/>
    </row>
    <row r="3344" spans="3:13" ht="12.75" customHeight="1" x14ac:dyDescent="0.2">
      <c r="C3344"/>
      <c r="M3344"/>
    </row>
    <row r="3345" spans="3:13" ht="12.75" customHeight="1" x14ac:dyDescent="0.2">
      <c r="C3345"/>
      <c r="M3345"/>
    </row>
    <row r="3346" spans="3:13" ht="12.75" customHeight="1" x14ac:dyDescent="0.2">
      <c r="C3346"/>
      <c r="M3346"/>
    </row>
    <row r="3347" spans="3:13" ht="12.75" customHeight="1" x14ac:dyDescent="0.2">
      <c r="C3347"/>
      <c r="M3347"/>
    </row>
    <row r="3348" spans="3:13" ht="12.75" customHeight="1" x14ac:dyDescent="0.2">
      <c r="C3348"/>
      <c r="M3348"/>
    </row>
    <row r="3349" spans="3:13" ht="12.75" customHeight="1" x14ac:dyDescent="0.2">
      <c r="C3349"/>
      <c r="M3349"/>
    </row>
    <row r="3350" spans="3:13" ht="12.75" customHeight="1" x14ac:dyDescent="0.2">
      <c r="C3350"/>
      <c r="M3350"/>
    </row>
    <row r="3351" spans="3:13" ht="12.75" customHeight="1" x14ac:dyDescent="0.2">
      <c r="C3351"/>
      <c r="M3351"/>
    </row>
    <row r="3352" spans="3:13" ht="12.75" customHeight="1" x14ac:dyDescent="0.2">
      <c r="C3352"/>
      <c r="M3352"/>
    </row>
    <row r="3353" spans="3:13" ht="12.75" customHeight="1" x14ac:dyDescent="0.2">
      <c r="C3353"/>
      <c r="M3353"/>
    </row>
    <row r="3354" spans="3:13" ht="12.75" customHeight="1" x14ac:dyDescent="0.2">
      <c r="C3354"/>
      <c r="M3354"/>
    </row>
    <row r="3355" spans="3:13" ht="12.75" customHeight="1" x14ac:dyDescent="0.2">
      <c r="C3355"/>
      <c r="M3355"/>
    </row>
    <row r="3356" spans="3:13" ht="12.75" customHeight="1" x14ac:dyDescent="0.2">
      <c r="C3356"/>
      <c r="M3356"/>
    </row>
    <row r="3357" spans="3:13" ht="12.75" customHeight="1" x14ac:dyDescent="0.2">
      <c r="C3357"/>
      <c r="M3357"/>
    </row>
    <row r="3358" spans="3:13" ht="12.75" customHeight="1" x14ac:dyDescent="0.2">
      <c r="C3358"/>
      <c r="M3358"/>
    </row>
    <row r="3359" spans="3:13" ht="12.75" customHeight="1" x14ac:dyDescent="0.2">
      <c r="C3359"/>
      <c r="M3359"/>
    </row>
    <row r="3360" spans="3:13" ht="12.75" customHeight="1" x14ac:dyDescent="0.2">
      <c r="C3360"/>
      <c r="M3360"/>
    </row>
    <row r="3361" spans="3:13" ht="12.75" customHeight="1" x14ac:dyDescent="0.2">
      <c r="C3361"/>
      <c r="M3361"/>
    </row>
    <row r="3362" spans="3:13" ht="12.75" customHeight="1" x14ac:dyDescent="0.2">
      <c r="C3362"/>
      <c r="M3362"/>
    </row>
    <row r="3363" spans="3:13" ht="12.75" customHeight="1" x14ac:dyDescent="0.2">
      <c r="C3363"/>
      <c r="M3363"/>
    </row>
    <row r="3364" spans="3:13" ht="12.75" customHeight="1" x14ac:dyDescent="0.2">
      <c r="C3364"/>
      <c r="M3364"/>
    </row>
    <row r="3365" spans="3:13" ht="12.75" customHeight="1" x14ac:dyDescent="0.2">
      <c r="C3365"/>
      <c r="M3365"/>
    </row>
    <row r="3366" spans="3:13" ht="12.75" customHeight="1" x14ac:dyDescent="0.2">
      <c r="C3366"/>
      <c r="M3366"/>
    </row>
    <row r="3367" spans="3:13" ht="12.75" customHeight="1" x14ac:dyDescent="0.2">
      <c r="C3367"/>
      <c r="M3367"/>
    </row>
    <row r="3368" spans="3:13" ht="12.75" customHeight="1" x14ac:dyDescent="0.2">
      <c r="C3368"/>
      <c r="M3368"/>
    </row>
    <row r="3369" spans="3:13" ht="12.75" customHeight="1" x14ac:dyDescent="0.2">
      <c r="C3369"/>
      <c r="M3369"/>
    </row>
    <row r="3370" spans="3:13" ht="12.75" customHeight="1" x14ac:dyDescent="0.2">
      <c r="C3370"/>
      <c r="M3370"/>
    </row>
    <row r="3371" spans="3:13" ht="12.75" customHeight="1" x14ac:dyDescent="0.2">
      <c r="C3371"/>
      <c r="M3371"/>
    </row>
    <row r="3372" spans="3:13" ht="12.75" customHeight="1" x14ac:dyDescent="0.2">
      <c r="C3372"/>
      <c r="M3372"/>
    </row>
    <row r="3373" spans="3:13" ht="12.75" customHeight="1" x14ac:dyDescent="0.2">
      <c r="C3373"/>
      <c r="M3373"/>
    </row>
    <row r="3374" spans="3:13" ht="12.75" customHeight="1" x14ac:dyDescent="0.2">
      <c r="C3374"/>
      <c r="M3374"/>
    </row>
    <row r="3375" spans="3:13" ht="12.75" customHeight="1" x14ac:dyDescent="0.2">
      <c r="C3375"/>
      <c r="M3375"/>
    </row>
    <row r="3376" spans="3:13" ht="12.75" customHeight="1" x14ac:dyDescent="0.2">
      <c r="C3376"/>
      <c r="M3376"/>
    </row>
    <row r="3377" spans="3:13" ht="12.75" customHeight="1" x14ac:dyDescent="0.2">
      <c r="C3377"/>
      <c r="M3377"/>
    </row>
    <row r="3378" spans="3:13" ht="12.75" customHeight="1" x14ac:dyDescent="0.2">
      <c r="C3378"/>
      <c r="M3378"/>
    </row>
    <row r="3379" spans="3:13" ht="12.75" customHeight="1" x14ac:dyDescent="0.2">
      <c r="C3379"/>
      <c r="M3379"/>
    </row>
    <row r="3380" spans="3:13" ht="12.75" customHeight="1" x14ac:dyDescent="0.2">
      <c r="C3380"/>
      <c r="M3380"/>
    </row>
    <row r="3381" spans="3:13" ht="12.75" customHeight="1" x14ac:dyDescent="0.2">
      <c r="C3381"/>
      <c r="M3381"/>
    </row>
    <row r="3382" spans="3:13" ht="12.75" customHeight="1" x14ac:dyDescent="0.2">
      <c r="C3382"/>
      <c r="M3382"/>
    </row>
    <row r="3383" spans="3:13" ht="12.75" customHeight="1" x14ac:dyDescent="0.2">
      <c r="C3383"/>
      <c r="M3383"/>
    </row>
    <row r="3384" spans="3:13" ht="12.75" customHeight="1" x14ac:dyDescent="0.2">
      <c r="C3384"/>
      <c r="M3384"/>
    </row>
    <row r="3385" spans="3:13" ht="12.75" customHeight="1" x14ac:dyDescent="0.2">
      <c r="C3385"/>
      <c r="M3385"/>
    </row>
    <row r="3386" spans="3:13" ht="12.75" customHeight="1" x14ac:dyDescent="0.2">
      <c r="C3386"/>
      <c r="M3386"/>
    </row>
    <row r="3387" spans="3:13" ht="12.75" customHeight="1" x14ac:dyDescent="0.2">
      <c r="C3387"/>
      <c r="M3387"/>
    </row>
    <row r="3388" spans="3:13" ht="12.75" customHeight="1" x14ac:dyDescent="0.2">
      <c r="C3388"/>
      <c r="M3388"/>
    </row>
    <row r="3389" spans="3:13" ht="12.75" customHeight="1" x14ac:dyDescent="0.2">
      <c r="C3389"/>
      <c r="M3389"/>
    </row>
    <row r="3390" spans="3:13" ht="12.75" customHeight="1" x14ac:dyDescent="0.2">
      <c r="C3390"/>
      <c r="M3390"/>
    </row>
    <row r="3391" spans="3:13" ht="12.75" customHeight="1" x14ac:dyDescent="0.2">
      <c r="C3391"/>
      <c r="M3391"/>
    </row>
    <row r="3392" spans="3:13" ht="12.75" customHeight="1" x14ac:dyDescent="0.2">
      <c r="C3392"/>
      <c r="M3392"/>
    </row>
    <row r="3393" spans="3:13" ht="12.75" customHeight="1" x14ac:dyDescent="0.2">
      <c r="C3393"/>
      <c r="M3393"/>
    </row>
    <row r="3394" spans="3:13" ht="12.75" customHeight="1" x14ac:dyDescent="0.2">
      <c r="C3394"/>
      <c r="M3394"/>
    </row>
    <row r="3395" spans="3:13" ht="12.75" customHeight="1" x14ac:dyDescent="0.2">
      <c r="C3395"/>
      <c r="M3395"/>
    </row>
    <row r="3396" spans="3:13" ht="12.75" customHeight="1" x14ac:dyDescent="0.2">
      <c r="C3396"/>
      <c r="M3396"/>
    </row>
    <row r="3397" spans="3:13" ht="12.75" customHeight="1" x14ac:dyDescent="0.2">
      <c r="C3397"/>
      <c r="M3397"/>
    </row>
    <row r="3398" spans="3:13" ht="12.75" customHeight="1" x14ac:dyDescent="0.2">
      <c r="C3398"/>
      <c r="M3398"/>
    </row>
    <row r="3399" spans="3:13" ht="12.75" customHeight="1" x14ac:dyDescent="0.2">
      <c r="C3399"/>
      <c r="M3399"/>
    </row>
    <row r="3400" spans="3:13" ht="12.75" customHeight="1" x14ac:dyDescent="0.2">
      <c r="C3400"/>
      <c r="M3400"/>
    </row>
    <row r="3401" spans="3:13" ht="12.75" customHeight="1" x14ac:dyDescent="0.2">
      <c r="C3401"/>
      <c r="M3401"/>
    </row>
    <row r="3402" spans="3:13" ht="12.75" customHeight="1" x14ac:dyDescent="0.2">
      <c r="C3402"/>
      <c r="M3402"/>
    </row>
    <row r="3403" spans="3:13" ht="12.75" customHeight="1" x14ac:dyDescent="0.2">
      <c r="C3403"/>
      <c r="M3403"/>
    </row>
    <row r="3404" spans="3:13" ht="12.75" customHeight="1" x14ac:dyDescent="0.2">
      <c r="C3404"/>
      <c r="M3404"/>
    </row>
    <row r="3405" spans="3:13" ht="12.75" customHeight="1" x14ac:dyDescent="0.2">
      <c r="C3405"/>
      <c r="M3405"/>
    </row>
    <row r="3406" spans="3:13" ht="12.75" customHeight="1" x14ac:dyDescent="0.2">
      <c r="C3406"/>
      <c r="M3406"/>
    </row>
    <row r="3407" spans="3:13" ht="12.75" customHeight="1" x14ac:dyDescent="0.2">
      <c r="C3407"/>
      <c r="M3407"/>
    </row>
    <row r="3408" spans="3:13" ht="12.75" customHeight="1" x14ac:dyDescent="0.2">
      <c r="C3408"/>
      <c r="M3408"/>
    </row>
    <row r="3409" spans="3:13" ht="12.75" customHeight="1" x14ac:dyDescent="0.2">
      <c r="C3409"/>
      <c r="M3409"/>
    </row>
    <row r="3410" spans="3:13" ht="12.75" customHeight="1" x14ac:dyDescent="0.2">
      <c r="C3410"/>
      <c r="M3410"/>
    </row>
    <row r="3411" spans="3:13" ht="12.75" customHeight="1" x14ac:dyDescent="0.2">
      <c r="C3411"/>
      <c r="M3411"/>
    </row>
    <row r="3412" spans="3:13" ht="12.75" customHeight="1" x14ac:dyDescent="0.2">
      <c r="C3412"/>
      <c r="M3412"/>
    </row>
    <row r="3413" spans="3:13" ht="12.75" customHeight="1" x14ac:dyDescent="0.2">
      <c r="C3413"/>
      <c r="M3413"/>
    </row>
    <row r="3414" spans="3:13" ht="12.75" customHeight="1" x14ac:dyDescent="0.2">
      <c r="C3414"/>
      <c r="M3414"/>
    </row>
    <row r="3415" spans="3:13" ht="12.75" customHeight="1" x14ac:dyDescent="0.2">
      <c r="C3415"/>
      <c r="M3415"/>
    </row>
    <row r="3416" spans="3:13" ht="12.75" customHeight="1" x14ac:dyDescent="0.2">
      <c r="C3416"/>
      <c r="M3416"/>
    </row>
    <row r="3417" spans="3:13" ht="12.75" customHeight="1" x14ac:dyDescent="0.2">
      <c r="C3417"/>
      <c r="M3417"/>
    </row>
    <row r="3418" spans="3:13" ht="12.75" customHeight="1" x14ac:dyDescent="0.2">
      <c r="C3418"/>
      <c r="M3418"/>
    </row>
    <row r="3419" spans="3:13" ht="12.75" customHeight="1" x14ac:dyDescent="0.2">
      <c r="C3419"/>
      <c r="M3419"/>
    </row>
    <row r="3420" spans="3:13" ht="12.75" customHeight="1" x14ac:dyDescent="0.2">
      <c r="C3420"/>
      <c r="M3420"/>
    </row>
    <row r="3421" spans="3:13" ht="12.75" customHeight="1" x14ac:dyDescent="0.2">
      <c r="C3421"/>
      <c r="M3421"/>
    </row>
    <row r="3422" spans="3:13" ht="12.75" customHeight="1" x14ac:dyDescent="0.2">
      <c r="C3422"/>
      <c r="M3422"/>
    </row>
    <row r="3423" spans="3:13" ht="12.75" customHeight="1" x14ac:dyDescent="0.2">
      <c r="C3423"/>
      <c r="M3423"/>
    </row>
    <row r="3424" spans="3:13" ht="12.75" customHeight="1" x14ac:dyDescent="0.2">
      <c r="C3424"/>
      <c r="M3424"/>
    </row>
    <row r="3425" spans="3:13" ht="12.75" customHeight="1" x14ac:dyDescent="0.2">
      <c r="C3425"/>
      <c r="M3425"/>
    </row>
    <row r="3426" spans="3:13" ht="12.75" customHeight="1" x14ac:dyDescent="0.2">
      <c r="C3426"/>
      <c r="M3426"/>
    </row>
    <row r="3427" spans="3:13" ht="12.75" customHeight="1" x14ac:dyDescent="0.2">
      <c r="C3427"/>
      <c r="M3427"/>
    </row>
    <row r="3428" spans="3:13" ht="12.75" customHeight="1" x14ac:dyDescent="0.2">
      <c r="C3428"/>
      <c r="M3428"/>
    </row>
    <row r="3429" spans="3:13" ht="12.75" customHeight="1" x14ac:dyDescent="0.2">
      <c r="C3429"/>
      <c r="M3429"/>
    </row>
    <row r="3430" spans="3:13" ht="12.75" customHeight="1" x14ac:dyDescent="0.2">
      <c r="C3430"/>
      <c r="M3430"/>
    </row>
    <row r="3431" spans="3:13" ht="12.75" customHeight="1" x14ac:dyDescent="0.2">
      <c r="C3431"/>
      <c r="M3431"/>
    </row>
    <row r="3432" spans="3:13" ht="12.75" customHeight="1" x14ac:dyDescent="0.2">
      <c r="C3432"/>
      <c r="M3432"/>
    </row>
    <row r="3433" spans="3:13" ht="12.75" customHeight="1" x14ac:dyDescent="0.2">
      <c r="C3433"/>
      <c r="M3433"/>
    </row>
    <row r="3434" spans="3:13" ht="12.75" customHeight="1" x14ac:dyDescent="0.2">
      <c r="C3434"/>
      <c r="M3434"/>
    </row>
    <row r="3435" spans="3:13" ht="12.75" customHeight="1" x14ac:dyDescent="0.2">
      <c r="C3435"/>
      <c r="M3435"/>
    </row>
    <row r="3436" spans="3:13" ht="12.75" customHeight="1" x14ac:dyDescent="0.2">
      <c r="C3436"/>
      <c r="M3436"/>
    </row>
    <row r="3437" spans="3:13" ht="12.75" customHeight="1" x14ac:dyDescent="0.2">
      <c r="C3437"/>
      <c r="M3437"/>
    </row>
    <row r="3438" spans="3:13" ht="12.75" customHeight="1" x14ac:dyDescent="0.2">
      <c r="C3438"/>
      <c r="M3438"/>
    </row>
    <row r="3439" spans="3:13" ht="12.75" customHeight="1" x14ac:dyDescent="0.2">
      <c r="C3439"/>
      <c r="M3439"/>
    </row>
    <row r="3440" spans="3:13" ht="12.75" customHeight="1" x14ac:dyDescent="0.2">
      <c r="C3440"/>
      <c r="M3440"/>
    </row>
    <row r="3441" spans="3:13" ht="12.75" customHeight="1" x14ac:dyDescent="0.2">
      <c r="C3441"/>
      <c r="M3441"/>
    </row>
    <row r="3442" spans="3:13" ht="12.75" customHeight="1" x14ac:dyDescent="0.2">
      <c r="C3442"/>
      <c r="M3442"/>
    </row>
    <row r="3443" spans="3:13" ht="12.75" customHeight="1" x14ac:dyDescent="0.2">
      <c r="C3443"/>
      <c r="M3443"/>
    </row>
    <row r="3444" spans="3:13" ht="12.75" customHeight="1" x14ac:dyDescent="0.2">
      <c r="C3444"/>
      <c r="M3444"/>
    </row>
    <row r="3445" spans="3:13" ht="12.75" customHeight="1" x14ac:dyDescent="0.2">
      <c r="C3445"/>
      <c r="M3445"/>
    </row>
    <row r="3446" spans="3:13" ht="12.75" customHeight="1" x14ac:dyDescent="0.2">
      <c r="C3446"/>
      <c r="M3446"/>
    </row>
    <row r="3447" spans="3:13" ht="12.75" customHeight="1" x14ac:dyDescent="0.2">
      <c r="C3447"/>
      <c r="M3447"/>
    </row>
    <row r="3448" spans="3:13" ht="12.75" customHeight="1" x14ac:dyDescent="0.2">
      <c r="C3448"/>
      <c r="M3448"/>
    </row>
    <row r="3449" spans="3:13" ht="12.75" customHeight="1" x14ac:dyDescent="0.2">
      <c r="C3449"/>
      <c r="M3449"/>
    </row>
    <row r="3450" spans="3:13" ht="12.75" customHeight="1" x14ac:dyDescent="0.2">
      <c r="C3450"/>
      <c r="M3450"/>
    </row>
    <row r="3451" spans="3:13" ht="12.75" customHeight="1" x14ac:dyDescent="0.2">
      <c r="C3451"/>
      <c r="M3451"/>
    </row>
    <row r="3452" spans="3:13" ht="12.75" customHeight="1" x14ac:dyDescent="0.2">
      <c r="C3452"/>
      <c r="M3452"/>
    </row>
    <row r="3453" spans="3:13" ht="12.75" customHeight="1" x14ac:dyDescent="0.2">
      <c r="C3453"/>
      <c r="M3453"/>
    </row>
    <row r="3454" spans="3:13" ht="12.75" customHeight="1" x14ac:dyDescent="0.2">
      <c r="C3454"/>
      <c r="M3454"/>
    </row>
    <row r="3455" spans="3:13" ht="12.75" customHeight="1" x14ac:dyDescent="0.2">
      <c r="C3455"/>
      <c r="M3455"/>
    </row>
    <row r="3456" spans="3:13" ht="12.75" customHeight="1" x14ac:dyDescent="0.2">
      <c r="C3456"/>
      <c r="M3456"/>
    </row>
    <row r="3457" spans="3:13" ht="12.75" customHeight="1" x14ac:dyDescent="0.2">
      <c r="C3457"/>
      <c r="M3457"/>
    </row>
    <row r="3458" spans="3:13" ht="12.75" customHeight="1" x14ac:dyDescent="0.2">
      <c r="C3458"/>
      <c r="M3458"/>
    </row>
    <row r="3459" spans="3:13" ht="12.75" customHeight="1" x14ac:dyDescent="0.2">
      <c r="C3459"/>
      <c r="M3459"/>
    </row>
    <row r="3460" spans="3:13" ht="12.75" customHeight="1" x14ac:dyDescent="0.2">
      <c r="C3460"/>
      <c r="M3460"/>
    </row>
    <row r="3461" spans="3:13" ht="12.75" customHeight="1" x14ac:dyDescent="0.2">
      <c r="C3461"/>
      <c r="M3461"/>
    </row>
    <row r="3462" spans="3:13" ht="12.75" customHeight="1" x14ac:dyDescent="0.2">
      <c r="C3462"/>
      <c r="M3462"/>
    </row>
    <row r="3463" spans="3:13" ht="12.75" customHeight="1" x14ac:dyDescent="0.2">
      <c r="C3463"/>
      <c r="M3463"/>
    </row>
    <row r="3464" spans="3:13" ht="12.75" customHeight="1" x14ac:dyDescent="0.2">
      <c r="C3464"/>
      <c r="M3464"/>
    </row>
    <row r="3465" spans="3:13" ht="12.75" customHeight="1" x14ac:dyDescent="0.2">
      <c r="C3465"/>
      <c r="M3465"/>
    </row>
    <row r="3466" spans="3:13" ht="12.75" customHeight="1" x14ac:dyDescent="0.2">
      <c r="C3466"/>
      <c r="M3466"/>
    </row>
    <row r="3467" spans="3:13" ht="12.75" customHeight="1" x14ac:dyDescent="0.2">
      <c r="C3467"/>
      <c r="M3467"/>
    </row>
    <row r="3468" spans="3:13" ht="12.75" customHeight="1" x14ac:dyDescent="0.2">
      <c r="C3468"/>
      <c r="M3468"/>
    </row>
    <row r="3469" spans="3:13" ht="12.75" customHeight="1" x14ac:dyDescent="0.2">
      <c r="C3469"/>
      <c r="M3469"/>
    </row>
    <row r="3470" spans="3:13" ht="12.75" customHeight="1" x14ac:dyDescent="0.2">
      <c r="C3470"/>
      <c r="M3470"/>
    </row>
    <row r="3471" spans="3:13" ht="12.75" customHeight="1" x14ac:dyDescent="0.2">
      <c r="C3471"/>
      <c r="M3471"/>
    </row>
    <row r="3472" spans="3:13" ht="12.75" customHeight="1" x14ac:dyDescent="0.2">
      <c r="C3472"/>
      <c r="M3472"/>
    </row>
    <row r="3473" spans="3:13" ht="12.75" customHeight="1" x14ac:dyDescent="0.2">
      <c r="C3473"/>
      <c r="M3473"/>
    </row>
    <row r="3474" spans="3:13" ht="12.75" customHeight="1" x14ac:dyDescent="0.2">
      <c r="C3474"/>
      <c r="M3474"/>
    </row>
    <row r="3475" spans="3:13" ht="12.75" customHeight="1" x14ac:dyDescent="0.2">
      <c r="C3475"/>
      <c r="M3475"/>
    </row>
    <row r="3476" spans="3:13" ht="12.75" customHeight="1" x14ac:dyDescent="0.2">
      <c r="C3476"/>
      <c r="M3476"/>
    </row>
    <row r="3477" spans="3:13" ht="12.75" customHeight="1" x14ac:dyDescent="0.2">
      <c r="C3477"/>
      <c r="M3477"/>
    </row>
    <row r="3478" spans="3:13" ht="12.75" customHeight="1" x14ac:dyDescent="0.2">
      <c r="C3478"/>
      <c r="M3478"/>
    </row>
    <row r="3479" spans="3:13" ht="12.75" customHeight="1" x14ac:dyDescent="0.2">
      <c r="C3479"/>
      <c r="M3479"/>
    </row>
    <row r="3480" spans="3:13" ht="12.75" customHeight="1" x14ac:dyDescent="0.2">
      <c r="C3480"/>
      <c r="M3480"/>
    </row>
    <row r="3481" spans="3:13" ht="12.75" customHeight="1" x14ac:dyDescent="0.2">
      <c r="C3481"/>
      <c r="M3481"/>
    </row>
    <row r="3482" spans="3:13" ht="12.75" customHeight="1" x14ac:dyDescent="0.2">
      <c r="C3482"/>
      <c r="M3482"/>
    </row>
    <row r="3483" spans="3:13" ht="12.75" customHeight="1" x14ac:dyDescent="0.2">
      <c r="C3483"/>
      <c r="M3483"/>
    </row>
    <row r="3484" spans="3:13" ht="12.75" customHeight="1" x14ac:dyDescent="0.2">
      <c r="C3484"/>
      <c r="M3484"/>
    </row>
    <row r="3485" spans="3:13" ht="12.75" customHeight="1" x14ac:dyDescent="0.2">
      <c r="C3485"/>
      <c r="M3485"/>
    </row>
    <row r="3486" spans="3:13" ht="12.75" customHeight="1" x14ac:dyDescent="0.2">
      <c r="C3486"/>
      <c r="M3486"/>
    </row>
    <row r="3487" spans="3:13" ht="12.75" customHeight="1" x14ac:dyDescent="0.2">
      <c r="C3487"/>
      <c r="M3487"/>
    </row>
    <row r="3488" spans="3:13" ht="12.75" customHeight="1" x14ac:dyDescent="0.2">
      <c r="C3488"/>
      <c r="M3488"/>
    </row>
    <row r="3489" spans="3:13" ht="12.75" customHeight="1" x14ac:dyDescent="0.2">
      <c r="C3489"/>
      <c r="M3489"/>
    </row>
    <row r="3490" spans="3:13" ht="12.75" customHeight="1" x14ac:dyDescent="0.2">
      <c r="C3490"/>
      <c r="M3490"/>
    </row>
    <row r="3491" spans="3:13" ht="12.75" customHeight="1" x14ac:dyDescent="0.2">
      <c r="C3491"/>
      <c r="M3491"/>
    </row>
    <row r="3492" spans="3:13" ht="12.75" customHeight="1" x14ac:dyDescent="0.2">
      <c r="C3492"/>
      <c r="M3492"/>
    </row>
    <row r="3493" spans="3:13" ht="12.75" customHeight="1" x14ac:dyDescent="0.2">
      <c r="C3493"/>
      <c r="M3493"/>
    </row>
    <row r="3494" spans="3:13" ht="12.75" customHeight="1" x14ac:dyDescent="0.2">
      <c r="C3494"/>
      <c r="M3494"/>
    </row>
    <row r="3495" spans="3:13" ht="12.75" customHeight="1" x14ac:dyDescent="0.2">
      <c r="C3495"/>
      <c r="M3495"/>
    </row>
    <row r="3496" spans="3:13" ht="12.75" customHeight="1" x14ac:dyDescent="0.2">
      <c r="C3496"/>
      <c r="M3496"/>
    </row>
    <row r="3497" spans="3:13" ht="12.75" customHeight="1" x14ac:dyDescent="0.2">
      <c r="C3497"/>
      <c r="M3497"/>
    </row>
    <row r="3498" spans="3:13" ht="12.75" customHeight="1" x14ac:dyDescent="0.2">
      <c r="C3498"/>
      <c r="M3498"/>
    </row>
    <row r="3499" spans="3:13" ht="12.75" customHeight="1" x14ac:dyDescent="0.2">
      <c r="C3499"/>
      <c r="M3499"/>
    </row>
    <row r="3500" spans="3:13" ht="12.75" customHeight="1" x14ac:dyDescent="0.2">
      <c r="C3500"/>
      <c r="M3500"/>
    </row>
    <row r="3501" spans="3:13" ht="12.75" customHeight="1" x14ac:dyDescent="0.2">
      <c r="C3501"/>
      <c r="M3501"/>
    </row>
    <row r="3502" spans="3:13" ht="12.75" customHeight="1" x14ac:dyDescent="0.2">
      <c r="C3502"/>
      <c r="M3502"/>
    </row>
    <row r="3503" spans="3:13" ht="12.75" customHeight="1" x14ac:dyDescent="0.2">
      <c r="C3503"/>
      <c r="M3503"/>
    </row>
    <row r="3504" spans="3:13" ht="12.75" customHeight="1" x14ac:dyDescent="0.2">
      <c r="C3504"/>
      <c r="M3504"/>
    </row>
    <row r="3505" spans="3:13" ht="12.75" customHeight="1" x14ac:dyDescent="0.2">
      <c r="C3505"/>
      <c r="M3505"/>
    </row>
    <row r="3506" spans="3:13" ht="12.75" customHeight="1" x14ac:dyDescent="0.2">
      <c r="C3506"/>
      <c r="M3506"/>
    </row>
    <row r="3507" spans="3:13" ht="12.75" customHeight="1" x14ac:dyDescent="0.2">
      <c r="C3507"/>
      <c r="M3507"/>
    </row>
    <row r="3508" spans="3:13" ht="12.75" customHeight="1" x14ac:dyDescent="0.2">
      <c r="C3508"/>
      <c r="M3508"/>
    </row>
    <row r="3509" spans="3:13" ht="12.75" customHeight="1" x14ac:dyDescent="0.2">
      <c r="C3509"/>
      <c r="M3509"/>
    </row>
    <row r="3510" spans="3:13" ht="12.75" customHeight="1" x14ac:dyDescent="0.2">
      <c r="C3510"/>
      <c r="M3510"/>
    </row>
    <row r="3511" spans="3:13" ht="12.75" customHeight="1" x14ac:dyDescent="0.2">
      <c r="C3511"/>
      <c r="M3511"/>
    </row>
    <row r="3512" spans="3:13" ht="12.75" customHeight="1" x14ac:dyDescent="0.2">
      <c r="C3512"/>
      <c r="M3512"/>
    </row>
    <row r="3513" spans="3:13" ht="12.75" customHeight="1" x14ac:dyDescent="0.2">
      <c r="C3513"/>
      <c r="M3513"/>
    </row>
    <row r="3514" spans="3:13" ht="12.75" customHeight="1" x14ac:dyDescent="0.2">
      <c r="C3514"/>
      <c r="M3514"/>
    </row>
    <row r="3515" spans="3:13" ht="12.75" customHeight="1" x14ac:dyDescent="0.2">
      <c r="C3515"/>
      <c r="M3515"/>
    </row>
    <row r="3516" spans="3:13" ht="12.75" customHeight="1" x14ac:dyDescent="0.2">
      <c r="C3516"/>
      <c r="M3516"/>
    </row>
    <row r="3517" spans="3:13" ht="12.75" customHeight="1" x14ac:dyDescent="0.2">
      <c r="C3517"/>
      <c r="M3517"/>
    </row>
    <row r="3518" spans="3:13" ht="12.75" customHeight="1" x14ac:dyDescent="0.2">
      <c r="C3518"/>
      <c r="M3518"/>
    </row>
    <row r="3519" spans="3:13" ht="12.75" customHeight="1" x14ac:dyDescent="0.2">
      <c r="C3519"/>
      <c r="M3519"/>
    </row>
    <row r="3520" spans="3:13" ht="12.75" customHeight="1" x14ac:dyDescent="0.2">
      <c r="C3520"/>
      <c r="M3520"/>
    </row>
    <row r="3521" spans="3:13" ht="12.75" customHeight="1" x14ac:dyDescent="0.2">
      <c r="C3521"/>
      <c r="M3521"/>
    </row>
    <row r="3522" spans="3:13" ht="12.75" customHeight="1" x14ac:dyDescent="0.2">
      <c r="C3522"/>
      <c r="M3522"/>
    </row>
    <row r="3523" spans="3:13" ht="12.75" customHeight="1" x14ac:dyDescent="0.2">
      <c r="C3523"/>
      <c r="M3523"/>
    </row>
    <row r="3524" spans="3:13" ht="12.75" customHeight="1" x14ac:dyDescent="0.2">
      <c r="C3524"/>
      <c r="M3524"/>
    </row>
    <row r="3525" spans="3:13" ht="12.75" customHeight="1" x14ac:dyDescent="0.2">
      <c r="C3525"/>
      <c r="M3525"/>
    </row>
    <row r="3526" spans="3:13" ht="12.75" customHeight="1" x14ac:dyDescent="0.2">
      <c r="C3526"/>
      <c r="M3526"/>
    </row>
    <row r="3527" spans="3:13" ht="12.75" customHeight="1" x14ac:dyDescent="0.2">
      <c r="C3527"/>
      <c r="M3527"/>
    </row>
    <row r="3528" spans="3:13" ht="12.75" customHeight="1" x14ac:dyDescent="0.2">
      <c r="C3528"/>
      <c r="M3528"/>
    </row>
    <row r="3529" spans="3:13" ht="12.75" customHeight="1" x14ac:dyDescent="0.2">
      <c r="C3529"/>
      <c r="M3529"/>
    </row>
    <row r="3530" spans="3:13" ht="12.75" customHeight="1" x14ac:dyDescent="0.2">
      <c r="C3530"/>
      <c r="M3530"/>
    </row>
    <row r="3531" spans="3:13" ht="12.75" customHeight="1" x14ac:dyDescent="0.2">
      <c r="C3531"/>
      <c r="M3531"/>
    </row>
    <row r="3532" spans="3:13" ht="12.75" customHeight="1" x14ac:dyDescent="0.2">
      <c r="C3532"/>
      <c r="M3532"/>
    </row>
    <row r="3533" spans="3:13" ht="12.75" customHeight="1" x14ac:dyDescent="0.2">
      <c r="C3533"/>
      <c r="M3533"/>
    </row>
    <row r="3534" spans="3:13" ht="12.75" customHeight="1" x14ac:dyDescent="0.2">
      <c r="C3534"/>
      <c r="M3534"/>
    </row>
    <row r="3535" spans="3:13" ht="12.75" customHeight="1" x14ac:dyDescent="0.2">
      <c r="C3535"/>
      <c r="M3535"/>
    </row>
    <row r="3536" spans="3:13" ht="12.75" customHeight="1" x14ac:dyDescent="0.2">
      <c r="C3536"/>
      <c r="M3536"/>
    </row>
    <row r="3537" spans="3:13" ht="12.75" customHeight="1" x14ac:dyDescent="0.2">
      <c r="C3537"/>
      <c r="M3537"/>
    </row>
    <row r="3538" spans="3:13" ht="12.75" customHeight="1" x14ac:dyDescent="0.2">
      <c r="C3538"/>
      <c r="M3538"/>
    </row>
    <row r="3539" spans="3:13" ht="12.75" customHeight="1" x14ac:dyDescent="0.2">
      <c r="C3539"/>
      <c r="M3539"/>
    </row>
    <row r="3540" spans="3:13" ht="12.75" customHeight="1" x14ac:dyDescent="0.2">
      <c r="C3540"/>
      <c r="M3540"/>
    </row>
    <row r="3541" spans="3:13" ht="12.75" customHeight="1" x14ac:dyDescent="0.2">
      <c r="C3541"/>
      <c r="M3541"/>
    </row>
    <row r="3542" spans="3:13" ht="12.75" customHeight="1" x14ac:dyDescent="0.2">
      <c r="C3542"/>
      <c r="M3542"/>
    </row>
    <row r="3543" spans="3:13" ht="12.75" customHeight="1" x14ac:dyDescent="0.2">
      <c r="C3543"/>
      <c r="M3543"/>
    </row>
    <row r="3544" spans="3:13" ht="12.75" customHeight="1" x14ac:dyDescent="0.2">
      <c r="C3544"/>
      <c r="M3544"/>
    </row>
    <row r="3545" spans="3:13" ht="12.75" customHeight="1" x14ac:dyDescent="0.2">
      <c r="C3545"/>
      <c r="M3545"/>
    </row>
    <row r="3546" spans="3:13" ht="12.75" customHeight="1" x14ac:dyDescent="0.2">
      <c r="C3546"/>
      <c r="M3546"/>
    </row>
    <row r="3547" spans="3:13" ht="12.75" customHeight="1" x14ac:dyDescent="0.2">
      <c r="C3547"/>
      <c r="M3547"/>
    </row>
    <row r="3548" spans="3:13" ht="12.75" customHeight="1" x14ac:dyDescent="0.2">
      <c r="C3548"/>
      <c r="M3548"/>
    </row>
    <row r="3549" spans="3:13" ht="12.75" customHeight="1" x14ac:dyDescent="0.2">
      <c r="C3549"/>
      <c r="M3549"/>
    </row>
    <row r="3550" spans="3:13" ht="12.75" customHeight="1" x14ac:dyDescent="0.2">
      <c r="C3550"/>
      <c r="M3550"/>
    </row>
    <row r="3551" spans="3:13" ht="12.75" customHeight="1" x14ac:dyDescent="0.2">
      <c r="C3551"/>
      <c r="M3551"/>
    </row>
    <row r="3552" spans="3:13" ht="12.75" customHeight="1" x14ac:dyDescent="0.2">
      <c r="C3552"/>
      <c r="M3552"/>
    </row>
    <row r="3553" spans="3:13" ht="12.75" customHeight="1" x14ac:dyDescent="0.2">
      <c r="C3553"/>
      <c r="M3553"/>
    </row>
    <row r="3554" spans="3:13" ht="12.75" customHeight="1" x14ac:dyDescent="0.2">
      <c r="C3554"/>
      <c r="M3554"/>
    </row>
    <row r="3555" spans="3:13" ht="12.75" customHeight="1" x14ac:dyDescent="0.2">
      <c r="C3555"/>
      <c r="M3555"/>
    </row>
    <row r="3556" spans="3:13" ht="12.75" customHeight="1" x14ac:dyDescent="0.2">
      <c r="C3556"/>
      <c r="M3556"/>
    </row>
    <row r="3557" spans="3:13" ht="12.75" customHeight="1" x14ac:dyDescent="0.2">
      <c r="C3557"/>
      <c r="M3557"/>
    </row>
    <row r="3558" spans="3:13" ht="12.75" customHeight="1" x14ac:dyDescent="0.2">
      <c r="C3558"/>
      <c r="M3558"/>
    </row>
    <row r="3559" spans="3:13" ht="12.75" customHeight="1" x14ac:dyDescent="0.2">
      <c r="C3559"/>
      <c r="M3559"/>
    </row>
    <row r="3560" spans="3:13" ht="12.75" customHeight="1" x14ac:dyDescent="0.2">
      <c r="C3560"/>
      <c r="M3560"/>
    </row>
    <row r="3561" spans="3:13" ht="12.75" customHeight="1" x14ac:dyDescent="0.2">
      <c r="C3561"/>
      <c r="M3561"/>
    </row>
    <row r="3562" spans="3:13" ht="12.75" customHeight="1" x14ac:dyDescent="0.2">
      <c r="C3562"/>
      <c r="M3562"/>
    </row>
    <row r="3563" spans="3:13" ht="12.75" customHeight="1" x14ac:dyDescent="0.2">
      <c r="C3563"/>
      <c r="M3563"/>
    </row>
    <row r="3564" spans="3:13" ht="12.75" customHeight="1" x14ac:dyDescent="0.2">
      <c r="C3564"/>
      <c r="M3564"/>
    </row>
    <row r="3565" spans="3:13" ht="12.75" customHeight="1" x14ac:dyDescent="0.2">
      <c r="C3565"/>
      <c r="M3565"/>
    </row>
    <row r="3566" spans="3:13" ht="12.75" customHeight="1" x14ac:dyDescent="0.2">
      <c r="C3566"/>
      <c r="M3566"/>
    </row>
    <row r="3567" spans="3:13" ht="12.75" customHeight="1" x14ac:dyDescent="0.2">
      <c r="C3567"/>
      <c r="M3567"/>
    </row>
    <row r="3568" spans="3:13" ht="12.75" customHeight="1" x14ac:dyDescent="0.2">
      <c r="C3568"/>
      <c r="M3568"/>
    </row>
    <row r="3569" spans="3:13" ht="12.75" customHeight="1" x14ac:dyDescent="0.2">
      <c r="C3569"/>
      <c r="M3569"/>
    </row>
    <row r="3570" spans="3:13" ht="12.75" customHeight="1" x14ac:dyDescent="0.2">
      <c r="C3570"/>
      <c r="M3570"/>
    </row>
    <row r="3571" spans="3:13" ht="12.75" customHeight="1" x14ac:dyDescent="0.2">
      <c r="C3571"/>
      <c r="M3571"/>
    </row>
    <row r="3572" spans="3:13" ht="12.75" customHeight="1" x14ac:dyDescent="0.2">
      <c r="C3572"/>
      <c r="M3572"/>
    </row>
    <row r="3573" spans="3:13" ht="12.75" customHeight="1" x14ac:dyDescent="0.2">
      <c r="C3573"/>
      <c r="M3573"/>
    </row>
    <row r="3574" spans="3:13" ht="12.75" customHeight="1" x14ac:dyDescent="0.2">
      <c r="C3574"/>
      <c r="M3574"/>
    </row>
    <row r="3575" spans="3:13" ht="12.75" customHeight="1" x14ac:dyDescent="0.2">
      <c r="C3575"/>
      <c r="M3575"/>
    </row>
    <row r="3576" spans="3:13" ht="12.75" customHeight="1" x14ac:dyDescent="0.2">
      <c r="C3576"/>
      <c r="M3576"/>
    </row>
    <row r="3577" spans="3:13" ht="12.75" customHeight="1" x14ac:dyDescent="0.2">
      <c r="C3577"/>
      <c r="M3577"/>
    </row>
    <row r="3578" spans="3:13" ht="12.75" customHeight="1" x14ac:dyDescent="0.2">
      <c r="C3578"/>
      <c r="M3578"/>
    </row>
    <row r="3579" spans="3:13" ht="12.75" customHeight="1" x14ac:dyDescent="0.2">
      <c r="C3579"/>
      <c r="M3579"/>
    </row>
    <row r="3580" spans="3:13" ht="12.75" customHeight="1" x14ac:dyDescent="0.2">
      <c r="C3580"/>
      <c r="M3580"/>
    </row>
    <row r="3581" spans="3:13" ht="12.75" customHeight="1" x14ac:dyDescent="0.2">
      <c r="C3581"/>
      <c r="M3581"/>
    </row>
    <row r="3582" spans="3:13" ht="12.75" customHeight="1" x14ac:dyDescent="0.2">
      <c r="C3582"/>
      <c r="M3582"/>
    </row>
    <row r="3583" spans="3:13" ht="12.75" customHeight="1" x14ac:dyDescent="0.2">
      <c r="C3583"/>
      <c r="M3583"/>
    </row>
    <row r="3584" spans="3:13" ht="12.75" customHeight="1" x14ac:dyDescent="0.2">
      <c r="C3584"/>
      <c r="M3584"/>
    </row>
    <row r="3585" spans="3:13" ht="12.75" customHeight="1" x14ac:dyDescent="0.2">
      <c r="C3585"/>
      <c r="M3585"/>
    </row>
    <row r="3586" spans="3:13" ht="12.75" customHeight="1" x14ac:dyDescent="0.2">
      <c r="C3586"/>
      <c r="M3586"/>
    </row>
    <row r="3587" spans="3:13" ht="12.75" customHeight="1" x14ac:dyDescent="0.2">
      <c r="C3587"/>
      <c r="M3587"/>
    </row>
    <row r="3588" spans="3:13" ht="12.75" customHeight="1" x14ac:dyDescent="0.2">
      <c r="C3588"/>
      <c r="M3588"/>
    </row>
    <row r="3589" spans="3:13" ht="12.75" customHeight="1" x14ac:dyDescent="0.2">
      <c r="C3589"/>
      <c r="M3589"/>
    </row>
    <row r="3590" spans="3:13" ht="12.75" customHeight="1" x14ac:dyDescent="0.2">
      <c r="C3590"/>
      <c r="M3590"/>
    </row>
    <row r="3591" spans="3:13" ht="12.75" customHeight="1" x14ac:dyDescent="0.2">
      <c r="C3591"/>
      <c r="M3591"/>
    </row>
    <row r="3592" spans="3:13" ht="12.75" customHeight="1" x14ac:dyDescent="0.2">
      <c r="C3592"/>
      <c r="M3592"/>
    </row>
    <row r="3593" spans="3:13" ht="12.75" customHeight="1" x14ac:dyDescent="0.2">
      <c r="C3593"/>
      <c r="M3593"/>
    </row>
    <row r="3594" spans="3:13" ht="12.75" customHeight="1" x14ac:dyDescent="0.2">
      <c r="C3594"/>
      <c r="M3594"/>
    </row>
    <row r="3595" spans="3:13" ht="12.75" customHeight="1" x14ac:dyDescent="0.2">
      <c r="C3595"/>
      <c r="M3595"/>
    </row>
    <row r="3596" spans="3:13" ht="12.75" customHeight="1" x14ac:dyDescent="0.2">
      <c r="C3596"/>
      <c r="M3596"/>
    </row>
    <row r="3597" spans="3:13" ht="12.75" customHeight="1" x14ac:dyDescent="0.2">
      <c r="C3597"/>
      <c r="M3597"/>
    </row>
    <row r="3598" spans="3:13" ht="12.75" customHeight="1" x14ac:dyDescent="0.2">
      <c r="C3598"/>
      <c r="M3598"/>
    </row>
    <row r="3599" spans="3:13" ht="12.75" customHeight="1" x14ac:dyDescent="0.2">
      <c r="C3599"/>
      <c r="M3599"/>
    </row>
    <row r="3600" spans="3:13" ht="12.75" customHeight="1" x14ac:dyDescent="0.2">
      <c r="C3600"/>
      <c r="M3600"/>
    </row>
    <row r="3601" spans="3:13" ht="12.75" customHeight="1" x14ac:dyDescent="0.2">
      <c r="C3601"/>
      <c r="M3601"/>
    </row>
    <row r="3602" spans="3:13" ht="12.75" customHeight="1" x14ac:dyDescent="0.2">
      <c r="C3602"/>
      <c r="M3602"/>
    </row>
    <row r="3603" spans="3:13" ht="12.75" customHeight="1" x14ac:dyDescent="0.2">
      <c r="C3603"/>
      <c r="M3603"/>
    </row>
    <row r="3604" spans="3:13" ht="12.75" customHeight="1" x14ac:dyDescent="0.2">
      <c r="C3604"/>
      <c r="M3604"/>
    </row>
    <row r="3605" spans="3:13" ht="12.75" customHeight="1" x14ac:dyDescent="0.2">
      <c r="C3605"/>
      <c r="M3605"/>
    </row>
    <row r="3606" spans="3:13" ht="12.75" customHeight="1" x14ac:dyDescent="0.2">
      <c r="C3606"/>
      <c r="M3606"/>
    </row>
    <row r="3607" spans="3:13" ht="12.75" customHeight="1" x14ac:dyDescent="0.2">
      <c r="C3607"/>
      <c r="M3607"/>
    </row>
    <row r="3608" spans="3:13" ht="12.75" customHeight="1" x14ac:dyDescent="0.2">
      <c r="C3608"/>
      <c r="M3608"/>
    </row>
    <row r="3609" spans="3:13" ht="12.75" customHeight="1" x14ac:dyDescent="0.2">
      <c r="C3609"/>
      <c r="M3609"/>
    </row>
    <row r="3610" spans="3:13" ht="12.75" customHeight="1" x14ac:dyDescent="0.2">
      <c r="C3610"/>
      <c r="M3610"/>
    </row>
    <row r="3611" spans="3:13" ht="12.75" customHeight="1" x14ac:dyDescent="0.2">
      <c r="C3611"/>
      <c r="M3611"/>
    </row>
    <row r="3612" spans="3:13" ht="12.75" customHeight="1" x14ac:dyDescent="0.2">
      <c r="C3612"/>
      <c r="M3612"/>
    </row>
    <row r="3613" spans="3:13" ht="12.75" customHeight="1" x14ac:dyDescent="0.2">
      <c r="C3613"/>
      <c r="M3613"/>
    </row>
    <row r="3614" spans="3:13" ht="12.75" customHeight="1" x14ac:dyDescent="0.2">
      <c r="C3614"/>
      <c r="M3614"/>
    </row>
    <row r="3615" spans="3:13" ht="12.75" customHeight="1" x14ac:dyDescent="0.2">
      <c r="C3615"/>
      <c r="M3615"/>
    </row>
    <row r="3616" spans="3:13" ht="12.75" customHeight="1" x14ac:dyDescent="0.2">
      <c r="C3616"/>
      <c r="M3616"/>
    </row>
    <row r="3617" spans="3:13" ht="12.75" customHeight="1" x14ac:dyDescent="0.2">
      <c r="C3617"/>
      <c r="M3617"/>
    </row>
    <row r="3618" spans="3:13" ht="12.75" customHeight="1" x14ac:dyDescent="0.2">
      <c r="C3618"/>
      <c r="M3618"/>
    </row>
    <row r="3619" spans="3:13" ht="12.75" customHeight="1" x14ac:dyDescent="0.2">
      <c r="C3619"/>
      <c r="M3619"/>
    </row>
    <row r="3620" spans="3:13" ht="12.75" customHeight="1" x14ac:dyDescent="0.2">
      <c r="C3620"/>
      <c r="M3620"/>
    </row>
    <row r="3621" spans="3:13" ht="12.75" customHeight="1" x14ac:dyDescent="0.2">
      <c r="C3621"/>
      <c r="M3621"/>
    </row>
    <row r="3622" spans="3:13" ht="12.75" customHeight="1" x14ac:dyDescent="0.2">
      <c r="C3622"/>
      <c r="M3622"/>
    </row>
    <row r="3623" spans="3:13" ht="12.75" customHeight="1" x14ac:dyDescent="0.2">
      <c r="C3623"/>
      <c r="M3623"/>
    </row>
    <row r="3624" spans="3:13" ht="12.75" customHeight="1" x14ac:dyDescent="0.2">
      <c r="C3624"/>
      <c r="M3624"/>
    </row>
    <row r="3625" spans="3:13" ht="12.75" customHeight="1" x14ac:dyDescent="0.2">
      <c r="C3625"/>
      <c r="M3625"/>
    </row>
    <row r="3626" spans="3:13" ht="12.75" customHeight="1" x14ac:dyDescent="0.2">
      <c r="C3626"/>
      <c r="M3626"/>
    </row>
    <row r="3627" spans="3:13" ht="12.75" customHeight="1" x14ac:dyDescent="0.2">
      <c r="C3627"/>
      <c r="M3627"/>
    </row>
    <row r="3628" spans="3:13" ht="12.75" customHeight="1" x14ac:dyDescent="0.2">
      <c r="C3628"/>
      <c r="M3628"/>
    </row>
    <row r="3629" spans="3:13" ht="12.75" customHeight="1" x14ac:dyDescent="0.2">
      <c r="C3629"/>
      <c r="M3629"/>
    </row>
    <row r="3630" spans="3:13" ht="12.75" customHeight="1" x14ac:dyDescent="0.2">
      <c r="C3630"/>
      <c r="M3630"/>
    </row>
    <row r="3631" spans="3:13" ht="12.75" customHeight="1" x14ac:dyDescent="0.2">
      <c r="C3631"/>
      <c r="M3631"/>
    </row>
    <row r="3632" spans="3:13" ht="12.75" customHeight="1" x14ac:dyDescent="0.2">
      <c r="C3632"/>
      <c r="M3632"/>
    </row>
    <row r="3633" spans="3:13" ht="12.75" customHeight="1" x14ac:dyDescent="0.2">
      <c r="C3633"/>
      <c r="M3633"/>
    </row>
    <row r="3634" spans="3:13" ht="12.75" customHeight="1" x14ac:dyDescent="0.2">
      <c r="C3634"/>
      <c r="M3634"/>
    </row>
    <row r="3635" spans="3:13" ht="12.75" customHeight="1" x14ac:dyDescent="0.2">
      <c r="C3635"/>
      <c r="M3635"/>
    </row>
    <row r="3636" spans="3:13" ht="12.75" customHeight="1" x14ac:dyDescent="0.2">
      <c r="C3636"/>
      <c r="M3636"/>
    </row>
    <row r="3637" spans="3:13" ht="12.75" customHeight="1" x14ac:dyDescent="0.2">
      <c r="C3637"/>
      <c r="M3637"/>
    </row>
    <row r="3638" spans="3:13" ht="12.75" customHeight="1" x14ac:dyDescent="0.2">
      <c r="C3638"/>
      <c r="M3638"/>
    </row>
    <row r="3639" spans="3:13" ht="12.75" customHeight="1" x14ac:dyDescent="0.2">
      <c r="C3639"/>
      <c r="M3639"/>
    </row>
    <row r="3640" spans="3:13" ht="12.75" customHeight="1" x14ac:dyDescent="0.2">
      <c r="C3640"/>
      <c r="M3640"/>
    </row>
    <row r="3641" spans="3:13" ht="12.75" customHeight="1" x14ac:dyDescent="0.2">
      <c r="C3641"/>
      <c r="M3641"/>
    </row>
    <row r="3642" spans="3:13" ht="12.75" customHeight="1" x14ac:dyDescent="0.2">
      <c r="C3642"/>
      <c r="M3642"/>
    </row>
    <row r="3643" spans="3:13" ht="12.75" customHeight="1" x14ac:dyDescent="0.2">
      <c r="C3643"/>
      <c r="M3643"/>
    </row>
    <row r="3644" spans="3:13" ht="12.75" customHeight="1" x14ac:dyDescent="0.2">
      <c r="C3644"/>
      <c r="M3644"/>
    </row>
    <row r="3645" spans="3:13" ht="12.75" customHeight="1" x14ac:dyDescent="0.2">
      <c r="C3645"/>
      <c r="M3645"/>
    </row>
    <row r="3646" spans="3:13" ht="12.75" customHeight="1" x14ac:dyDescent="0.2">
      <c r="C3646"/>
      <c r="M3646"/>
    </row>
    <row r="3647" spans="3:13" ht="12.75" customHeight="1" x14ac:dyDescent="0.2">
      <c r="C3647"/>
      <c r="M3647"/>
    </row>
    <row r="3648" spans="3:13" ht="12.75" customHeight="1" x14ac:dyDescent="0.2">
      <c r="C3648"/>
      <c r="M3648"/>
    </row>
    <row r="3649" spans="3:13" ht="12.75" customHeight="1" x14ac:dyDescent="0.2">
      <c r="C3649"/>
      <c r="M3649"/>
    </row>
    <row r="3650" spans="3:13" ht="12.75" customHeight="1" x14ac:dyDescent="0.2">
      <c r="C3650"/>
      <c r="M3650"/>
    </row>
    <row r="3651" spans="3:13" ht="12.75" customHeight="1" x14ac:dyDescent="0.2">
      <c r="C3651"/>
      <c r="M3651"/>
    </row>
    <row r="3652" spans="3:13" ht="12.75" customHeight="1" x14ac:dyDescent="0.2">
      <c r="C3652"/>
      <c r="M3652"/>
    </row>
    <row r="3653" spans="3:13" ht="12.75" customHeight="1" x14ac:dyDescent="0.2">
      <c r="C3653"/>
      <c r="M3653"/>
    </row>
    <row r="3654" spans="3:13" ht="12.75" customHeight="1" x14ac:dyDescent="0.2">
      <c r="C3654"/>
      <c r="M3654"/>
    </row>
    <row r="3655" spans="3:13" ht="12.75" customHeight="1" x14ac:dyDescent="0.2">
      <c r="C3655"/>
      <c r="M3655"/>
    </row>
    <row r="3656" spans="3:13" ht="12.75" customHeight="1" x14ac:dyDescent="0.2">
      <c r="C3656"/>
      <c r="M3656"/>
    </row>
    <row r="3657" spans="3:13" ht="12.75" customHeight="1" x14ac:dyDescent="0.2">
      <c r="C3657"/>
      <c r="M3657"/>
    </row>
    <row r="3658" spans="3:13" ht="12.75" customHeight="1" x14ac:dyDescent="0.2">
      <c r="C3658"/>
      <c r="M3658"/>
    </row>
    <row r="3659" spans="3:13" ht="12.75" customHeight="1" x14ac:dyDescent="0.2">
      <c r="C3659"/>
      <c r="M3659"/>
    </row>
    <row r="3660" spans="3:13" ht="12.75" customHeight="1" x14ac:dyDescent="0.2">
      <c r="C3660"/>
      <c r="M3660"/>
    </row>
    <row r="3661" spans="3:13" ht="12.75" customHeight="1" x14ac:dyDescent="0.2">
      <c r="C3661"/>
      <c r="M3661"/>
    </row>
    <row r="3662" spans="3:13" ht="12.75" customHeight="1" x14ac:dyDescent="0.2">
      <c r="C3662"/>
      <c r="M3662"/>
    </row>
    <row r="3663" spans="3:13" ht="12.75" customHeight="1" x14ac:dyDescent="0.2">
      <c r="C3663"/>
      <c r="M3663"/>
    </row>
    <row r="3664" spans="3:13" ht="12.75" customHeight="1" x14ac:dyDescent="0.2">
      <c r="C3664"/>
      <c r="M3664"/>
    </row>
    <row r="3665" spans="3:13" ht="12.75" customHeight="1" x14ac:dyDescent="0.2">
      <c r="C3665"/>
      <c r="M3665"/>
    </row>
    <row r="3666" spans="3:13" ht="12.75" customHeight="1" x14ac:dyDescent="0.2">
      <c r="C3666"/>
      <c r="M3666"/>
    </row>
    <row r="3667" spans="3:13" ht="12.75" customHeight="1" x14ac:dyDescent="0.2">
      <c r="C3667"/>
      <c r="M3667"/>
    </row>
    <row r="3668" spans="3:13" ht="12.75" customHeight="1" x14ac:dyDescent="0.2">
      <c r="C3668"/>
      <c r="M3668"/>
    </row>
    <row r="3669" spans="3:13" ht="12.75" customHeight="1" x14ac:dyDescent="0.2">
      <c r="C3669"/>
      <c r="M3669"/>
    </row>
    <row r="3670" spans="3:13" ht="12.75" customHeight="1" x14ac:dyDescent="0.2">
      <c r="C3670"/>
      <c r="M3670"/>
    </row>
    <row r="3671" spans="3:13" ht="12.75" customHeight="1" x14ac:dyDescent="0.2">
      <c r="C3671"/>
      <c r="M3671"/>
    </row>
    <row r="3672" spans="3:13" ht="12.75" customHeight="1" x14ac:dyDescent="0.2">
      <c r="C3672"/>
      <c r="M3672"/>
    </row>
    <row r="3673" spans="3:13" ht="12.75" customHeight="1" x14ac:dyDescent="0.2">
      <c r="C3673"/>
      <c r="M3673"/>
    </row>
    <row r="3674" spans="3:13" ht="12.75" customHeight="1" x14ac:dyDescent="0.2">
      <c r="C3674"/>
      <c r="M3674"/>
    </row>
    <row r="3675" spans="3:13" ht="12.75" customHeight="1" x14ac:dyDescent="0.2">
      <c r="C3675"/>
      <c r="M3675"/>
    </row>
    <row r="3676" spans="3:13" ht="12.75" customHeight="1" x14ac:dyDescent="0.2">
      <c r="C3676"/>
      <c r="M3676"/>
    </row>
    <row r="3677" spans="3:13" ht="12.75" customHeight="1" x14ac:dyDescent="0.2">
      <c r="C3677"/>
      <c r="M3677"/>
    </row>
    <row r="3678" spans="3:13" ht="12.75" customHeight="1" x14ac:dyDescent="0.2">
      <c r="C3678"/>
      <c r="M3678"/>
    </row>
    <row r="3679" spans="3:13" ht="12.75" customHeight="1" x14ac:dyDescent="0.2">
      <c r="C3679"/>
      <c r="M3679"/>
    </row>
    <row r="3680" spans="3:13" ht="12.75" customHeight="1" x14ac:dyDescent="0.2">
      <c r="C3680"/>
      <c r="M3680"/>
    </row>
    <row r="3681" spans="3:13" ht="12.75" customHeight="1" x14ac:dyDescent="0.2">
      <c r="C3681"/>
      <c r="M3681"/>
    </row>
    <row r="3682" spans="3:13" ht="12.75" customHeight="1" x14ac:dyDescent="0.2">
      <c r="C3682"/>
      <c r="M3682"/>
    </row>
    <row r="3683" spans="3:13" ht="12.75" customHeight="1" x14ac:dyDescent="0.2">
      <c r="C3683"/>
      <c r="M3683"/>
    </row>
    <row r="3684" spans="3:13" ht="12.75" customHeight="1" x14ac:dyDescent="0.2">
      <c r="C3684"/>
      <c r="M3684"/>
    </row>
    <row r="3685" spans="3:13" ht="12.75" customHeight="1" x14ac:dyDescent="0.2">
      <c r="C3685"/>
      <c r="M3685"/>
    </row>
    <row r="3686" spans="3:13" ht="12.75" customHeight="1" x14ac:dyDescent="0.2">
      <c r="C3686"/>
      <c r="M3686"/>
    </row>
    <row r="3687" spans="3:13" ht="12.75" customHeight="1" x14ac:dyDescent="0.2">
      <c r="C3687"/>
      <c r="M3687"/>
    </row>
    <row r="3688" spans="3:13" ht="12.75" customHeight="1" x14ac:dyDescent="0.2">
      <c r="C3688"/>
      <c r="M3688"/>
    </row>
    <row r="3689" spans="3:13" ht="12.75" customHeight="1" x14ac:dyDescent="0.2">
      <c r="C3689"/>
      <c r="M3689"/>
    </row>
    <row r="3690" spans="3:13" ht="12.75" customHeight="1" x14ac:dyDescent="0.2">
      <c r="C3690"/>
      <c r="M3690"/>
    </row>
    <row r="3691" spans="3:13" ht="12.75" customHeight="1" x14ac:dyDescent="0.2">
      <c r="C3691"/>
      <c r="M3691"/>
    </row>
    <row r="3692" spans="3:13" ht="12.75" customHeight="1" x14ac:dyDescent="0.2">
      <c r="C3692"/>
      <c r="M3692"/>
    </row>
    <row r="3693" spans="3:13" ht="12.75" customHeight="1" x14ac:dyDescent="0.2">
      <c r="C3693"/>
      <c r="M3693"/>
    </row>
    <row r="3694" spans="3:13" ht="12.75" customHeight="1" x14ac:dyDescent="0.2">
      <c r="C3694"/>
      <c r="M3694"/>
    </row>
    <row r="3695" spans="3:13" ht="12.75" customHeight="1" x14ac:dyDescent="0.2">
      <c r="C3695"/>
      <c r="M3695"/>
    </row>
    <row r="3696" spans="3:13" ht="12.75" customHeight="1" x14ac:dyDescent="0.2">
      <c r="C3696"/>
      <c r="M3696"/>
    </row>
    <row r="3697" spans="3:13" ht="12.75" customHeight="1" x14ac:dyDescent="0.2">
      <c r="C3697"/>
      <c r="M3697"/>
    </row>
    <row r="3698" spans="3:13" ht="12.75" customHeight="1" x14ac:dyDescent="0.2">
      <c r="C3698"/>
      <c r="M3698"/>
    </row>
    <row r="3699" spans="3:13" ht="12.75" customHeight="1" x14ac:dyDescent="0.2">
      <c r="C3699"/>
      <c r="M3699"/>
    </row>
    <row r="3700" spans="3:13" ht="12.75" customHeight="1" x14ac:dyDescent="0.2">
      <c r="C3700"/>
      <c r="M3700"/>
    </row>
    <row r="3701" spans="3:13" ht="12.75" customHeight="1" x14ac:dyDescent="0.2">
      <c r="C3701"/>
      <c r="M3701"/>
    </row>
    <row r="3702" spans="3:13" ht="12.75" customHeight="1" x14ac:dyDescent="0.2">
      <c r="C3702"/>
      <c r="M3702"/>
    </row>
    <row r="3703" spans="3:13" ht="12.75" customHeight="1" x14ac:dyDescent="0.2">
      <c r="C3703"/>
      <c r="M3703"/>
    </row>
    <row r="3704" spans="3:13" ht="12.75" customHeight="1" x14ac:dyDescent="0.2">
      <c r="C3704"/>
      <c r="M3704"/>
    </row>
    <row r="3705" spans="3:13" ht="12.75" customHeight="1" x14ac:dyDescent="0.2">
      <c r="C3705"/>
      <c r="M3705"/>
    </row>
    <row r="3706" spans="3:13" ht="12.75" customHeight="1" x14ac:dyDescent="0.2">
      <c r="C3706"/>
      <c r="M3706"/>
    </row>
    <row r="3707" spans="3:13" ht="12.75" customHeight="1" x14ac:dyDescent="0.2">
      <c r="C3707"/>
      <c r="M3707"/>
    </row>
    <row r="3708" spans="3:13" ht="12.75" customHeight="1" x14ac:dyDescent="0.2">
      <c r="C3708"/>
      <c r="M3708"/>
    </row>
    <row r="3709" spans="3:13" ht="12.75" customHeight="1" x14ac:dyDescent="0.2">
      <c r="C3709"/>
      <c r="M3709"/>
    </row>
    <row r="3710" spans="3:13" ht="12.75" customHeight="1" x14ac:dyDescent="0.2">
      <c r="C3710"/>
      <c r="M3710"/>
    </row>
    <row r="3711" spans="3:13" ht="12.75" customHeight="1" x14ac:dyDescent="0.2">
      <c r="C3711"/>
      <c r="M3711"/>
    </row>
    <row r="3712" spans="3:13" ht="12.75" customHeight="1" x14ac:dyDescent="0.2">
      <c r="C3712"/>
      <c r="M3712"/>
    </row>
    <row r="3713" spans="3:13" ht="12.75" customHeight="1" x14ac:dyDescent="0.2">
      <c r="C3713"/>
      <c r="M3713"/>
    </row>
    <row r="3714" spans="3:13" ht="12.75" customHeight="1" x14ac:dyDescent="0.2">
      <c r="C3714"/>
      <c r="M3714"/>
    </row>
    <row r="3715" spans="3:13" ht="12.75" customHeight="1" x14ac:dyDescent="0.2">
      <c r="C3715"/>
      <c r="M3715"/>
    </row>
    <row r="3716" spans="3:13" ht="12.75" customHeight="1" x14ac:dyDescent="0.2">
      <c r="C3716"/>
      <c r="M3716"/>
    </row>
    <row r="3717" spans="3:13" ht="12.75" customHeight="1" x14ac:dyDescent="0.2">
      <c r="C3717"/>
      <c r="M3717"/>
    </row>
    <row r="3718" spans="3:13" ht="12.75" customHeight="1" x14ac:dyDescent="0.2">
      <c r="C3718"/>
      <c r="M3718"/>
    </row>
    <row r="3719" spans="3:13" ht="12.75" customHeight="1" x14ac:dyDescent="0.2">
      <c r="C3719"/>
      <c r="M3719"/>
    </row>
    <row r="3720" spans="3:13" ht="12.75" customHeight="1" x14ac:dyDescent="0.2">
      <c r="C3720"/>
      <c r="M3720"/>
    </row>
    <row r="3721" spans="3:13" ht="12.75" customHeight="1" x14ac:dyDescent="0.2">
      <c r="C3721"/>
      <c r="M3721"/>
    </row>
    <row r="3722" spans="3:13" ht="12.75" customHeight="1" x14ac:dyDescent="0.2">
      <c r="C3722"/>
      <c r="M3722"/>
    </row>
    <row r="3723" spans="3:13" ht="12.75" customHeight="1" x14ac:dyDescent="0.2">
      <c r="C3723"/>
      <c r="M3723"/>
    </row>
    <row r="3724" spans="3:13" ht="12.75" customHeight="1" x14ac:dyDescent="0.2">
      <c r="C3724"/>
      <c r="M3724"/>
    </row>
    <row r="3725" spans="3:13" ht="12.75" customHeight="1" x14ac:dyDescent="0.2">
      <c r="C3725"/>
      <c r="M3725"/>
    </row>
    <row r="3726" spans="3:13" ht="12.75" customHeight="1" x14ac:dyDescent="0.2">
      <c r="C3726"/>
      <c r="M3726"/>
    </row>
    <row r="3727" spans="3:13" ht="12.75" customHeight="1" x14ac:dyDescent="0.2">
      <c r="C3727"/>
      <c r="M3727"/>
    </row>
    <row r="3728" spans="3:13" ht="12.75" customHeight="1" x14ac:dyDescent="0.2">
      <c r="C3728"/>
      <c r="M3728"/>
    </row>
    <row r="3729" spans="3:13" ht="12.75" customHeight="1" x14ac:dyDescent="0.2">
      <c r="C3729"/>
      <c r="M3729"/>
    </row>
    <row r="3730" spans="3:13" ht="12.75" customHeight="1" x14ac:dyDescent="0.2">
      <c r="C3730"/>
      <c r="M3730"/>
    </row>
    <row r="3731" spans="3:13" ht="12.75" customHeight="1" x14ac:dyDescent="0.2">
      <c r="C3731"/>
      <c r="M3731"/>
    </row>
    <row r="3732" spans="3:13" ht="12.75" customHeight="1" x14ac:dyDescent="0.2">
      <c r="C3732"/>
      <c r="M3732"/>
    </row>
    <row r="3733" spans="3:13" ht="12.75" customHeight="1" x14ac:dyDescent="0.2">
      <c r="C3733"/>
      <c r="M3733"/>
    </row>
    <row r="3734" spans="3:13" ht="12.75" customHeight="1" x14ac:dyDescent="0.2">
      <c r="C3734"/>
      <c r="M3734"/>
    </row>
    <row r="3735" spans="3:13" ht="12.75" customHeight="1" x14ac:dyDescent="0.2">
      <c r="C3735"/>
      <c r="M3735"/>
    </row>
    <row r="3736" spans="3:13" ht="12.75" customHeight="1" x14ac:dyDescent="0.2">
      <c r="C3736"/>
      <c r="M3736"/>
    </row>
    <row r="3737" spans="3:13" ht="12.75" customHeight="1" x14ac:dyDescent="0.2">
      <c r="C3737"/>
      <c r="M3737"/>
    </row>
    <row r="3738" spans="3:13" ht="12.75" customHeight="1" x14ac:dyDescent="0.2">
      <c r="C3738"/>
      <c r="M3738"/>
    </row>
    <row r="3739" spans="3:13" ht="12.75" customHeight="1" x14ac:dyDescent="0.2">
      <c r="C3739"/>
      <c r="M3739"/>
    </row>
    <row r="3740" spans="3:13" ht="12.75" customHeight="1" x14ac:dyDescent="0.2">
      <c r="C3740"/>
      <c r="M3740"/>
    </row>
    <row r="3741" spans="3:13" ht="12.75" customHeight="1" x14ac:dyDescent="0.2">
      <c r="C3741"/>
      <c r="M3741"/>
    </row>
    <row r="3742" spans="3:13" ht="12.75" customHeight="1" x14ac:dyDescent="0.2">
      <c r="C3742"/>
      <c r="M3742"/>
    </row>
    <row r="3743" spans="3:13" ht="12.75" customHeight="1" x14ac:dyDescent="0.2">
      <c r="C3743"/>
      <c r="M3743"/>
    </row>
    <row r="3744" spans="3:13" ht="12.75" customHeight="1" x14ac:dyDescent="0.2">
      <c r="C3744"/>
      <c r="M3744"/>
    </row>
    <row r="3745" spans="3:13" ht="12.75" customHeight="1" x14ac:dyDescent="0.2">
      <c r="C3745"/>
      <c r="M3745"/>
    </row>
    <row r="3746" spans="3:13" ht="12.75" customHeight="1" x14ac:dyDescent="0.2">
      <c r="C3746"/>
      <c r="M3746"/>
    </row>
    <row r="3747" spans="3:13" ht="12.75" customHeight="1" x14ac:dyDescent="0.2">
      <c r="C3747"/>
      <c r="M3747"/>
    </row>
    <row r="3748" spans="3:13" ht="12.75" customHeight="1" x14ac:dyDescent="0.2">
      <c r="C3748"/>
      <c r="M3748"/>
    </row>
    <row r="3749" spans="3:13" ht="12.75" customHeight="1" x14ac:dyDescent="0.2">
      <c r="C3749"/>
      <c r="M3749"/>
    </row>
    <row r="3750" spans="3:13" ht="12.75" customHeight="1" x14ac:dyDescent="0.2">
      <c r="C3750"/>
      <c r="M3750"/>
    </row>
    <row r="3751" spans="3:13" ht="12.75" customHeight="1" x14ac:dyDescent="0.2">
      <c r="C3751"/>
      <c r="M3751"/>
    </row>
    <row r="3752" spans="3:13" ht="12.75" customHeight="1" x14ac:dyDescent="0.2">
      <c r="C3752"/>
      <c r="M3752"/>
    </row>
    <row r="3753" spans="3:13" ht="12.75" customHeight="1" x14ac:dyDescent="0.2">
      <c r="C3753"/>
      <c r="M3753"/>
    </row>
    <row r="3754" spans="3:13" ht="12.75" customHeight="1" x14ac:dyDescent="0.2">
      <c r="C3754"/>
      <c r="M3754"/>
    </row>
    <row r="3755" spans="3:13" ht="12.75" customHeight="1" x14ac:dyDescent="0.2">
      <c r="C3755"/>
      <c r="M3755"/>
    </row>
    <row r="3756" spans="3:13" ht="12.75" customHeight="1" x14ac:dyDescent="0.2">
      <c r="C3756"/>
      <c r="M3756"/>
    </row>
    <row r="3757" spans="3:13" ht="12.75" customHeight="1" x14ac:dyDescent="0.2">
      <c r="C3757"/>
      <c r="M3757"/>
    </row>
    <row r="3758" spans="3:13" ht="12.75" customHeight="1" x14ac:dyDescent="0.2">
      <c r="C3758"/>
      <c r="M3758"/>
    </row>
    <row r="3759" spans="3:13" ht="12.75" customHeight="1" x14ac:dyDescent="0.2">
      <c r="C3759"/>
      <c r="M3759"/>
    </row>
    <row r="3760" spans="3:13" ht="12.75" customHeight="1" x14ac:dyDescent="0.2">
      <c r="C3760"/>
      <c r="M3760"/>
    </row>
    <row r="3761" spans="3:13" ht="12.75" customHeight="1" x14ac:dyDescent="0.2">
      <c r="C3761"/>
      <c r="M3761"/>
    </row>
    <row r="3762" spans="3:13" ht="12.75" customHeight="1" x14ac:dyDescent="0.2">
      <c r="C3762"/>
      <c r="M3762"/>
    </row>
    <row r="3763" spans="3:13" ht="12.75" customHeight="1" x14ac:dyDescent="0.2">
      <c r="C3763"/>
      <c r="M3763"/>
    </row>
    <row r="3764" spans="3:13" ht="12.75" customHeight="1" x14ac:dyDescent="0.2">
      <c r="C3764"/>
      <c r="M3764"/>
    </row>
    <row r="3765" spans="3:13" ht="12.75" customHeight="1" x14ac:dyDescent="0.2">
      <c r="C3765"/>
      <c r="M3765"/>
    </row>
    <row r="3766" spans="3:13" ht="12.75" customHeight="1" x14ac:dyDescent="0.2">
      <c r="C3766"/>
      <c r="M3766"/>
    </row>
    <row r="3767" spans="3:13" ht="12.75" customHeight="1" x14ac:dyDescent="0.2">
      <c r="C3767"/>
      <c r="M3767"/>
    </row>
    <row r="3768" spans="3:13" ht="12.75" customHeight="1" x14ac:dyDescent="0.2">
      <c r="C3768"/>
      <c r="M3768"/>
    </row>
    <row r="3769" spans="3:13" ht="12.75" customHeight="1" x14ac:dyDescent="0.2">
      <c r="C3769"/>
      <c r="M3769"/>
    </row>
    <row r="3770" spans="3:13" ht="12.75" customHeight="1" x14ac:dyDescent="0.2">
      <c r="C3770"/>
      <c r="M3770"/>
    </row>
    <row r="3771" spans="3:13" ht="12.75" customHeight="1" x14ac:dyDescent="0.2">
      <c r="C3771"/>
      <c r="M3771"/>
    </row>
    <row r="3772" spans="3:13" ht="12.75" customHeight="1" x14ac:dyDescent="0.2">
      <c r="C3772"/>
      <c r="M3772"/>
    </row>
    <row r="3773" spans="3:13" ht="12.75" customHeight="1" x14ac:dyDescent="0.2">
      <c r="C3773"/>
      <c r="M3773"/>
    </row>
    <row r="3774" spans="3:13" ht="12.75" customHeight="1" x14ac:dyDescent="0.2">
      <c r="C3774"/>
      <c r="M3774"/>
    </row>
    <row r="3775" spans="3:13" ht="12.75" customHeight="1" x14ac:dyDescent="0.2">
      <c r="C3775"/>
      <c r="M3775"/>
    </row>
    <row r="3776" spans="3:13" ht="12.75" customHeight="1" x14ac:dyDescent="0.2">
      <c r="C3776"/>
      <c r="M3776"/>
    </row>
    <row r="3777" spans="3:13" ht="12.75" customHeight="1" x14ac:dyDescent="0.2">
      <c r="C3777"/>
      <c r="M3777"/>
    </row>
    <row r="3778" spans="3:13" ht="12.75" customHeight="1" x14ac:dyDescent="0.2">
      <c r="C3778"/>
      <c r="M3778"/>
    </row>
    <row r="3779" spans="3:13" ht="12.75" customHeight="1" x14ac:dyDescent="0.2">
      <c r="C3779"/>
      <c r="M3779"/>
    </row>
    <row r="3780" spans="3:13" ht="12.75" customHeight="1" x14ac:dyDescent="0.2">
      <c r="C3780"/>
      <c r="M3780"/>
    </row>
    <row r="3781" spans="3:13" ht="12.75" customHeight="1" x14ac:dyDescent="0.2">
      <c r="C3781"/>
      <c r="M3781"/>
    </row>
    <row r="3782" spans="3:13" ht="12.75" customHeight="1" x14ac:dyDescent="0.2">
      <c r="C3782"/>
      <c r="M3782"/>
    </row>
    <row r="3783" spans="3:13" ht="12.75" customHeight="1" x14ac:dyDescent="0.2">
      <c r="C3783"/>
      <c r="M3783"/>
    </row>
    <row r="3784" spans="3:13" ht="12.75" customHeight="1" x14ac:dyDescent="0.2">
      <c r="C3784"/>
      <c r="M3784"/>
    </row>
    <row r="3785" spans="3:13" ht="12.75" customHeight="1" x14ac:dyDescent="0.2">
      <c r="C3785"/>
      <c r="M3785"/>
    </row>
    <row r="3786" spans="3:13" ht="12.75" customHeight="1" x14ac:dyDescent="0.2">
      <c r="C3786"/>
      <c r="M3786"/>
    </row>
    <row r="3787" spans="3:13" ht="12.75" customHeight="1" x14ac:dyDescent="0.2">
      <c r="C3787"/>
      <c r="M3787"/>
    </row>
    <row r="3788" spans="3:13" ht="12.75" customHeight="1" x14ac:dyDescent="0.2">
      <c r="C3788"/>
      <c r="M3788"/>
    </row>
    <row r="3789" spans="3:13" ht="12.75" customHeight="1" x14ac:dyDescent="0.2">
      <c r="C3789"/>
      <c r="M3789"/>
    </row>
    <row r="3790" spans="3:13" ht="12.75" customHeight="1" x14ac:dyDescent="0.2">
      <c r="C3790"/>
      <c r="M3790"/>
    </row>
    <row r="3791" spans="3:13" ht="12.75" customHeight="1" x14ac:dyDescent="0.2">
      <c r="C3791"/>
      <c r="M3791"/>
    </row>
    <row r="3792" spans="3:13" ht="12.75" customHeight="1" x14ac:dyDescent="0.2">
      <c r="C3792"/>
      <c r="M3792"/>
    </row>
    <row r="3793" spans="3:13" ht="12.75" customHeight="1" x14ac:dyDescent="0.2">
      <c r="C3793"/>
      <c r="M3793"/>
    </row>
    <row r="3794" spans="3:13" ht="12.75" customHeight="1" x14ac:dyDescent="0.2">
      <c r="C3794"/>
      <c r="M3794"/>
    </row>
    <row r="3795" spans="3:13" ht="12.75" customHeight="1" x14ac:dyDescent="0.2">
      <c r="C3795"/>
      <c r="M3795"/>
    </row>
    <row r="3796" spans="3:13" ht="12.75" customHeight="1" x14ac:dyDescent="0.2">
      <c r="C3796"/>
      <c r="M3796"/>
    </row>
    <row r="3797" spans="3:13" ht="12.75" customHeight="1" x14ac:dyDescent="0.2">
      <c r="C3797"/>
      <c r="M3797"/>
    </row>
    <row r="3798" spans="3:13" ht="12.75" customHeight="1" x14ac:dyDescent="0.2">
      <c r="C3798"/>
      <c r="M3798"/>
    </row>
    <row r="3799" spans="3:13" ht="12.75" customHeight="1" x14ac:dyDescent="0.2">
      <c r="C3799"/>
      <c r="M3799"/>
    </row>
    <row r="3800" spans="3:13" ht="12.75" customHeight="1" x14ac:dyDescent="0.2">
      <c r="C3800"/>
      <c r="M3800"/>
    </row>
    <row r="3801" spans="3:13" ht="12.75" customHeight="1" x14ac:dyDescent="0.2">
      <c r="C3801"/>
      <c r="M3801"/>
    </row>
    <row r="3802" spans="3:13" ht="12.75" customHeight="1" x14ac:dyDescent="0.2">
      <c r="C3802"/>
      <c r="M3802"/>
    </row>
    <row r="3803" spans="3:13" ht="12.75" customHeight="1" x14ac:dyDescent="0.2">
      <c r="C3803"/>
      <c r="M3803"/>
    </row>
    <row r="3804" spans="3:13" ht="12.75" customHeight="1" x14ac:dyDescent="0.2">
      <c r="C3804"/>
      <c r="M3804"/>
    </row>
    <row r="3805" spans="3:13" ht="12.75" customHeight="1" x14ac:dyDescent="0.2">
      <c r="C3805"/>
      <c r="M3805"/>
    </row>
    <row r="3806" spans="3:13" ht="12.75" customHeight="1" x14ac:dyDescent="0.2">
      <c r="C3806"/>
      <c r="M3806"/>
    </row>
    <row r="3807" spans="3:13" ht="12.75" customHeight="1" x14ac:dyDescent="0.2">
      <c r="C3807"/>
      <c r="M3807"/>
    </row>
    <row r="3808" spans="3:13" ht="12.75" customHeight="1" x14ac:dyDescent="0.2">
      <c r="C3808"/>
      <c r="M3808"/>
    </row>
    <row r="3809" spans="3:13" ht="12.75" customHeight="1" x14ac:dyDescent="0.2">
      <c r="C3809"/>
      <c r="M3809"/>
    </row>
    <row r="3810" spans="3:13" ht="12.75" customHeight="1" x14ac:dyDescent="0.2">
      <c r="C3810"/>
      <c r="M3810"/>
    </row>
    <row r="3811" spans="3:13" ht="12.75" customHeight="1" x14ac:dyDescent="0.2">
      <c r="C3811"/>
      <c r="M3811"/>
    </row>
    <row r="3812" spans="3:13" ht="12.75" customHeight="1" x14ac:dyDescent="0.2">
      <c r="C3812"/>
      <c r="M3812"/>
    </row>
    <row r="3813" spans="3:13" ht="12.75" customHeight="1" x14ac:dyDescent="0.2">
      <c r="C3813"/>
      <c r="M3813"/>
    </row>
    <row r="3814" spans="3:13" ht="12.75" customHeight="1" x14ac:dyDescent="0.2">
      <c r="C3814"/>
      <c r="M3814"/>
    </row>
    <row r="3815" spans="3:13" ht="12.75" customHeight="1" x14ac:dyDescent="0.2">
      <c r="C3815"/>
      <c r="M3815"/>
    </row>
    <row r="3816" spans="3:13" ht="12.75" customHeight="1" x14ac:dyDescent="0.2">
      <c r="C3816"/>
      <c r="M3816"/>
    </row>
    <row r="3817" spans="3:13" ht="12.75" customHeight="1" x14ac:dyDescent="0.2">
      <c r="C3817"/>
      <c r="M3817"/>
    </row>
    <row r="3818" spans="3:13" ht="12.75" customHeight="1" x14ac:dyDescent="0.2">
      <c r="C3818"/>
      <c r="M3818"/>
    </row>
    <row r="3819" spans="3:13" ht="12.75" customHeight="1" x14ac:dyDescent="0.2">
      <c r="C3819"/>
      <c r="M3819"/>
    </row>
    <row r="3820" spans="3:13" ht="12.75" customHeight="1" x14ac:dyDescent="0.2">
      <c r="C3820"/>
      <c r="M3820"/>
    </row>
    <row r="3821" spans="3:13" ht="12.75" customHeight="1" x14ac:dyDescent="0.2">
      <c r="C3821"/>
      <c r="M3821"/>
    </row>
    <row r="3822" spans="3:13" ht="12.75" customHeight="1" x14ac:dyDescent="0.2">
      <c r="C3822"/>
      <c r="M3822"/>
    </row>
    <row r="3823" spans="3:13" ht="12.75" customHeight="1" x14ac:dyDescent="0.2">
      <c r="C3823"/>
      <c r="M3823"/>
    </row>
    <row r="3824" spans="3:13" ht="12.75" customHeight="1" x14ac:dyDescent="0.2">
      <c r="C3824"/>
      <c r="M3824"/>
    </row>
    <row r="3825" spans="3:13" ht="12.75" customHeight="1" x14ac:dyDescent="0.2">
      <c r="C3825"/>
      <c r="M3825"/>
    </row>
    <row r="3826" spans="3:13" ht="12.75" customHeight="1" x14ac:dyDescent="0.2">
      <c r="C3826"/>
      <c r="M3826"/>
    </row>
    <row r="3827" spans="3:13" ht="12.75" customHeight="1" x14ac:dyDescent="0.2">
      <c r="C3827"/>
      <c r="M3827"/>
    </row>
    <row r="3828" spans="3:13" ht="12.75" customHeight="1" x14ac:dyDescent="0.2">
      <c r="C3828"/>
      <c r="M3828"/>
    </row>
    <row r="3829" spans="3:13" ht="12.75" customHeight="1" x14ac:dyDescent="0.2">
      <c r="C3829"/>
      <c r="M3829"/>
    </row>
    <row r="3830" spans="3:13" ht="12.75" customHeight="1" x14ac:dyDescent="0.2">
      <c r="C3830"/>
      <c r="M3830"/>
    </row>
    <row r="3831" spans="3:13" ht="12.75" customHeight="1" x14ac:dyDescent="0.2">
      <c r="C3831"/>
      <c r="M3831"/>
    </row>
    <row r="3832" spans="3:13" ht="12.75" customHeight="1" x14ac:dyDescent="0.2">
      <c r="C3832"/>
      <c r="M3832"/>
    </row>
    <row r="3833" spans="3:13" ht="12.75" customHeight="1" x14ac:dyDescent="0.2">
      <c r="C3833"/>
      <c r="M3833"/>
    </row>
    <row r="3834" spans="3:13" ht="12.75" customHeight="1" x14ac:dyDescent="0.2">
      <c r="C3834"/>
      <c r="M3834"/>
    </row>
    <row r="3835" spans="3:13" ht="12.75" customHeight="1" x14ac:dyDescent="0.2">
      <c r="C3835"/>
      <c r="M3835"/>
    </row>
    <row r="3836" spans="3:13" ht="12.75" customHeight="1" x14ac:dyDescent="0.2">
      <c r="C3836"/>
      <c r="M3836"/>
    </row>
    <row r="3837" spans="3:13" ht="12.75" customHeight="1" x14ac:dyDescent="0.2">
      <c r="C3837"/>
      <c r="M3837"/>
    </row>
    <row r="3838" spans="3:13" ht="12.75" customHeight="1" x14ac:dyDescent="0.2">
      <c r="C3838"/>
      <c r="M3838"/>
    </row>
    <row r="3839" spans="3:13" ht="12.75" customHeight="1" x14ac:dyDescent="0.2">
      <c r="C3839"/>
      <c r="M3839"/>
    </row>
    <row r="3840" spans="3:13" ht="12.75" customHeight="1" x14ac:dyDescent="0.2">
      <c r="C3840"/>
      <c r="M3840"/>
    </row>
    <row r="3841" spans="3:13" ht="12.75" customHeight="1" x14ac:dyDescent="0.2">
      <c r="C3841"/>
      <c r="M3841"/>
    </row>
    <row r="3842" spans="3:13" ht="12.75" customHeight="1" x14ac:dyDescent="0.2">
      <c r="C3842"/>
      <c r="M3842"/>
    </row>
    <row r="3843" spans="3:13" ht="12.75" customHeight="1" x14ac:dyDescent="0.2">
      <c r="C3843"/>
      <c r="M3843"/>
    </row>
    <row r="3844" spans="3:13" ht="12.75" customHeight="1" x14ac:dyDescent="0.2">
      <c r="C3844"/>
      <c r="M3844"/>
    </row>
    <row r="3845" spans="3:13" ht="12.75" customHeight="1" x14ac:dyDescent="0.2">
      <c r="C3845"/>
      <c r="M3845"/>
    </row>
    <row r="3846" spans="3:13" ht="12.75" customHeight="1" x14ac:dyDescent="0.2">
      <c r="C3846"/>
      <c r="M3846"/>
    </row>
    <row r="3847" spans="3:13" ht="12.75" customHeight="1" x14ac:dyDescent="0.2">
      <c r="C3847"/>
      <c r="M3847"/>
    </row>
    <row r="3848" spans="3:13" ht="12.75" customHeight="1" x14ac:dyDescent="0.2">
      <c r="C3848"/>
      <c r="M3848"/>
    </row>
    <row r="3849" spans="3:13" ht="12.75" customHeight="1" x14ac:dyDescent="0.2">
      <c r="C3849"/>
      <c r="M3849"/>
    </row>
    <row r="3850" spans="3:13" ht="12.75" customHeight="1" x14ac:dyDescent="0.2">
      <c r="C3850"/>
      <c r="M3850"/>
    </row>
    <row r="3851" spans="3:13" ht="12.75" customHeight="1" x14ac:dyDescent="0.2">
      <c r="C3851"/>
      <c r="M3851"/>
    </row>
    <row r="3852" spans="3:13" ht="12.75" customHeight="1" x14ac:dyDescent="0.2">
      <c r="C3852"/>
      <c r="M3852"/>
    </row>
    <row r="3853" spans="3:13" ht="12.75" customHeight="1" x14ac:dyDescent="0.2">
      <c r="C3853"/>
      <c r="M3853"/>
    </row>
    <row r="3854" spans="3:13" ht="12.75" customHeight="1" x14ac:dyDescent="0.2">
      <c r="C3854"/>
      <c r="M3854"/>
    </row>
    <row r="3855" spans="3:13" ht="12.75" customHeight="1" x14ac:dyDescent="0.2">
      <c r="C3855"/>
      <c r="M3855"/>
    </row>
    <row r="3856" spans="3:13" ht="12.75" customHeight="1" x14ac:dyDescent="0.2">
      <c r="C3856"/>
      <c r="M3856"/>
    </row>
    <row r="3857" spans="3:13" ht="12.75" customHeight="1" x14ac:dyDescent="0.2">
      <c r="C3857"/>
      <c r="M3857"/>
    </row>
    <row r="3858" spans="3:13" ht="12.75" customHeight="1" x14ac:dyDescent="0.2">
      <c r="C3858"/>
      <c r="M3858"/>
    </row>
    <row r="3859" spans="3:13" ht="12.75" customHeight="1" x14ac:dyDescent="0.2">
      <c r="C3859"/>
      <c r="M3859"/>
    </row>
    <row r="3860" spans="3:13" ht="12.75" customHeight="1" x14ac:dyDescent="0.2">
      <c r="C3860"/>
      <c r="M3860"/>
    </row>
    <row r="3861" spans="3:13" ht="12.75" customHeight="1" x14ac:dyDescent="0.2">
      <c r="C3861"/>
      <c r="M3861"/>
    </row>
    <row r="3862" spans="3:13" ht="12.75" customHeight="1" x14ac:dyDescent="0.2">
      <c r="C3862"/>
      <c r="M3862"/>
    </row>
    <row r="3863" spans="3:13" ht="12.75" customHeight="1" x14ac:dyDescent="0.2">
      <c r="C3863"/>
      <c r="M3863"/>
    </row>
    <row r="3864" spans="3:13" ht="12.75" customHeight="1" x14ac:dyDescent="0.2">
      <c r="C3864"/>
      <c r="M3864"/>
    </row>
    <row r="3865" spans="3:13" ht="12.75" customHeight="1" x14ac:dyDescent="0.2">
      <c r="C3865"/>
      <c r="M3865"/>
    </row>
    <row r="3866" spans="3:13" ht="12.75" customHeight="1" x14ac:dyDescent="0.2">
      <c r="C3866"/>
      <c r="M3866"/>
    </row>
    <row r="3867" spans="3:13" ht="12.75" customHeight="1" x14ac:dyDescent="0.2">
      <c r="C3867"/>
      <c r="M3867"/>
    </row>
    <row r="3868" spans="3:13" ht="12.75" customHeight="1" x14ac:dyDescent="0.2">
      <c r="C3868"/>
      <c r="M3868"/>
    </row>
    <row r="3869" spans="3:13" ht="12.75" customHeight="1" x14ac:dyDescent="0.2">
      <c r="C3869"/>
      <c r="M3869"/>
    </row>
    <row r="3870" spans="3:13" ht="12.75" customHeight="1" x14ac:dyDescent="0.2">
      <c r="C3870"/>
      <c r="M3870"/>
    </row>
    <row r="3871" spans="3:13" ht="12.75" customHeight="1" x14ac:dyDescent="0.2">
      <c r="C3871"/>
      <c r="M3871"/>
    </row>
    <row r="3872" spans="3:13" ht="12.75" customHeight="1" x14ac:dyDescent="0.2">
      <c r="C3872"/>
      <c r="M3872"/>
    </row>
    <row r="3873" spans="3:13" ht="12.75" customHeight="1" x14ac:dyDescent="0.2">
      <c r="C3873"/>
      <c r="M3873"/>
    </row>
    <row r="3874" spans="3:13" ht="12.75" customHeight="1" x14ac:dyDescent="0.2">
      <c r="C3874"/>
      <c r="M3874"/>
    </row>
    <row r="3875" spans="3:13" ht="12.75" customHeight="1" x14ac:dyDescent="0.2">
      <c r="C3875"/>
      <c r="M3875"/>
    </row>
    <row r="3876" spans="3:13" ht="12.75" customHeight="1" x14ac:dyDescent="0.2">
      <c r="C3876"/>
      <c r="M3876"/>
    </row>
    <row r="3877" spans="3:13" ht="12.75" customHeight="1" x14ac:dyDescent="0.2">
      <c r="C3877"/>
      <c r="M3877"/>
    </row>
    <row r="3878" spans="3:13" ht="12.75" customHeight="1" x14ac:dyDescent="0.2">
      <c r="C3878"/>
      <c r="M3878"/>
    </row>
    <row r="3879" spans="3:13" ht="12.75" customHeight="1" x14ac:dyDescent="0.2">
      <c r="C3879"/>
      <c r="M3879"/>
    </row>
    <row r="3880" spans="3:13" ht="12.75" customHeight="1" x14ac:dyDescent="0.2">
      <c r="C3880"/>
      <c r="M3880"/>
    </row>
    <row r="3881" spans="3:13" ht="12.75" customHeight="1" x14ac:dyDescent="0.2">
      <c r="C3881"/>
      <c r="M3881"/>
    </row>
    <row r="3882" spans="3:13" ht="12.75" customHeight="1" x14ac:dyDescent="0.2">
      <c r="C3882"/>
      <c r="M3882"/>
    </row>
    <row r="3883" spans="3:13" ht="12.75" customHeight="1" x14ac:dyDescent="0.2">
      <c r="C3883"/>
      <c r="M3883"/>
    </row>
    <row r="3884" spans="3:13" ht="12.75" customHeight="1" x14ac:dyDescent="0.2">
      <c r="C3884"/>
      <c r="M3884"/>
    </row>
    <row r="3885" spans="3:13" ht="12.75" customHeight="1" x14ac:dyDescent="0.2">
      <c r="C3885"/>
      <c r="M3885"/>
    </row>
    <row r="3886" spans="3:13" ht="12.75" customHeight="1" x14ac:dyDescent="0.2">
      <c r="C3886"/>
      <c r="M3886"/>
    </row>
    <row r="3887" spans="3:13" ht="12.75" customHeight="1" x14ac:dyDescent="0.2">
      <c r="C3887"/>
      <c r="M3887"/>
    </row>
    <row r="3888" spans="3:13" ht="12.75" customHeight="1" x14ac:dyDescent="0.2">
      <c r="C3888"/>
      <c r="M3888"/>
    </row>
    <row r="3889" spans="3:13" ht="12.75" customHeight="1" x14ac:dyDescent="0.2">
      <c r="C3889"/>
      <c r="M3889"/>
    </row>
    <row r="3890" spans="3:13" ht="12.75" customHeight="1" x14ac:dyDescent="0.2">
      <c r="C3890"/>
      <c r="M3890"/>
    </row>
    <row r="3891" spans="3:13" ht="12.75" customHeight="1" x14ac:dyDescent="0.2">
      <c r="C3891"/>
      <c r="M3891"/>
    </row>
    <row r="3892" spans="3:13" ht="12.75" customHeight="1" x14ac:dyDescent="0.2">
      <c r="C3892"/>
      <c r="M3892"/>
    </row>
    <row r="3893" spans="3:13" ht="12.75" customHeight="1" x14ac:dyDescent="0.2">
      <c r="C3893"/>
      <c r="M3893"/>
    </row>
    <row r="3894" spans="3:13" ht="12.75" customHeight="1" x14ac:dyDescent="0.2">
      <c r="C3894"/>
      <c r="M3894"/>
    </row>
    <row r="3895" spans="3:13" ht="12.75" customHeight="1" x14ac:dyDescent="0.2">
      <c r="C3895"/>
      <c r="M3895"/>
    </row>
    <row r="3896" spans="3:13" ht="12.75" customHeight="1" x14ac:dyDescent="0.2">
      <c r="C3896"/>
      <c r="M3896"/>
    </row>
    <row r="3897" spans="3:13" ht="12.75" customHeight="1" x14ac:dyDescent="0.2">
      <c r="C3897"/>
      <c r="M3897"/>
    </row>
    <row r="3898" spans="3:13" ht="12.75" customHeight="1" x14ac:dyDescent="0.2">
      <c r="C3898"/>
      <c r="M3898"/>
    </row>
    <row r="3899" spans="3:13" ht="12.75" customHeight="1" x14ac:dyDescent="0.2">
      <c r="C3899"/>
      <c r="M3899"/>
    </row>
    <row r="3900" spans="3:13" ht="12.75" customHeight="1" x14ac:dyDescent="0.2">
      <c r="C3900"/>
      <c r="M3900"/>
    </row>
    <row r="3901" spans="3:13" ht="12.75" customHeight="1" x14ac:dyDescent="0.2">
      <c r="C3901"/>
      <c r="M3901"/>
    </row>
    <row r="3902" spans="3:13" ht="12.75" customHeight="1" x14ac:dyDescent="0.2">
      <c r="C3902"/>
      <c r="M3902"/>
    </row>
    <row r="3903" spans="3:13" ht="12.75" customHeight="1" x14ac:dyDescent="0.2">
      <c r="C3903"/>
      <c r="M3903"/>
    </row>
    <row r="3904" spans="3:13" ht="12.75" customHeight="1" x14ac:dyDescent="0.2">
      <c r="C3904"/>
      <c r="M3904"/>
    </row>
    <row r="3905" spans="3:13" ht="12.75" customHeight="1" x14ac:dyDescent="0.2">
      <c r="C3905"/>
      <c r="M3905"/>
    </row>
    <row r="3906" spans="3:13" ht="12.75" customHeight="1" x14ac:dyDescent="0.2">
      <c r="C3906"/>
      <c r="M3906"/>
    </row>
    <row r="3907" spans="3:13" ht="12.75" customHeight="1" x14ac:dyDescent="0.2">
      <c r="C3907"/>
      <c r="M3907"/>
    </row>
    <row r="3908" spans="3:13" ht="12.75" customHeight="1" x14ac:dyDescent="0.2">
      <c r="C3908"/>
      <c r="M3908"/>
    </row>
    <row r="3909" spans="3:13" ht="12.75" customHeight="1" x14ac:dyDescent="0.2">
      <c r="C3909"/>
      <c r="M3909"/>
    </row>
    <row r="3910" spans="3:13" ht="12.75" customHeight="1" x14ac:dyDescent="0.2">
      <c r="C3910"/>
      <c r="M3910"/>
    </row>
    <row r="3911" spans="3:13" ht="12.75" customHeight="1" x14ac:dyDescent="0.2">
      <c r="C3911"/>
      <c r="M3911"/>
    </row>
    <row r="3912" spans="3:13" ht="12.75" customHeight="1" x14ac:dyDescent="0.2">
      <c r="C3912"/>
      <c r="M3912"/>
    </row>
    <row r="3913" spans="3:13" ht="12.75" customHeight="1" x14ac:dyDescent="0.2">
      <c r="C3913"/>
      <c r="M3913"/>
    </row>
    <row r="3914" spans="3:13" ht="12.75" customHeight="1" x14ac:dyDescent="0.2">
      <c r="C3914"/>
      <c r="M3914"/>
    </row>
    <row r="3915" spans="3:13" ht="12.75" customHeight="1" x14ac:dyDescent="0.2">
      <c r="C3915"/>
      <c r="M3915"/>
    </row>
    <row r="3916" spans="3:13" ht="12.75" customHeight="1" x14ac:dyDescent="0.2">
      <c r="C3916"/>
      <c r="M3916"/>
    </row>
    <row r="3917" spans="3:13" ht="12.75" customHeight="1" x14ac:dyDescent="0.2">
      <c r="C3917"/>
      <c r="M3917"/>
    </row>
    <row r="3918" spans="3:13" ht="12.75" customHeight="1" x14ac:dyDescent="0.2">
      <c r="C3918"/>
      <c r="M3918"/>
    </row>
    <row r="3919" spans="3:13" ht="12.75" customHeight="1" x14ac:dyDescent="0.2">
      <c r="C3919"/>
      <c r="M3919"/>
    </row>
    <row r="3920" spans="3:13" ht="12.75" customHeight="1" x14ac:dyDescent="0.2">
      <c r="C3920"/>
      <c r="M3920"/>
    </row>
    <row r="3921" spans="3:13" ht="12.75" customHeight="1" x14ac:dyDescent="0.2">
      <c r="C3921"/>
      <c r="M3921"/>
    </row>
    <row r="3922" spans="3:13" ht="12.75" customHeight="1" x14ac:dyDescent="0.2">
      <c r="C3922"/>
      <c r="M3922"/>
    </row>
    <row r="3923" spans="3:13" ht="12.75" customHeight="1" x14ac:dyDescent="0.2">
      <c r="C3923"/>
      <c r="M3923"/>
    </row>
    <row r="3924" spans="3:13" ht="12.75" customHeight="1" x14ac:dyDescent="0.2">
      <c r="C3924"/>
      <c r="M3924"/>
    </row>
    <row r="3925" spans="3:13" ht="12.75" customHeight="1" x14ac:dyDescent="0.2">
      <c r="C3925"/>
      <c r="M3925"/>
    </row>
    <row r="3926" spans="3:13" ht="12.75" customHeight="1" x14ac:dyDescent="0.2">
      <c r="C3926"/>
      <c r="M3926"/>
    </row>
    <row r="3927" spans="3:13" ht="12.75" customHeight="1" x14ac:dyDescent="0.2">
      <c r="C3927"/>
      <c r="M3927"/>
    </row>
    <row r="3928" spans="3:13" ht="12.75" customHeight="1" x14ac:dyDescent="0.2">
      <c r="C3928"/>
      <c r="M3928"/>
    </row>
    <row r="3929" spans="3:13" ht="12.75" customHeight="1" x14ac:dyDescent="0.2">
      <c r="C3929"/>
      <c r="M3929"/>
    </row>
    <row r="3930" spans="3:13" ht="12.75" customHeight="1" x14ac:dyDescent="0.2">
      <c r="C3930"/>
      <c r="M3930"/>
    </row>
    <row r="3931" spans="3:13" ht="12.75" customHeight="1" x14ac:dyDescent="0.2">
      <c r="C3931"/>
      <c r="M3931"/>
    </row>
    <row r="3932" spans="3:13" ht="12.75" customHeight="1" x14ac:dyDescent="0.2">
      <c r="C3932"/>
      <c r="M3932"/>
    </row>
    <row r="3933" spans="3:13" ht="12.75" customHeight="1" x14ac:dyDescent="0.2">
      <c r="C3933"/>
      <c r="M3933"/>
    </row>
    <row r="3934" spans="3:13" ht="12.75" customHeight="1" x14ac:dyDescent="0.2">
      <c r="C3934"/>
      <c r="M3934"/>
    </row>
    <row r="3935" spans="3:13" ht="12.75" customHeight="1" x14ac:dyDescent="0.2">
      <c r="C3935"/>
      <c r="M3935"/>
    </row>
    <row r="3936" spans="3:13" ht="12.75" customHeight="1" x14ac:dyDescent="0.2">
      <c r="C3936"/>
      <c r="M3936"/>
    </row>
    <row r="3937" spans="3:13" ht="12.75" customHeight="1" x14ac:dyDescent="0.2">
      <c r="C3937"/>
      <c r="M3937"/>
    </row>
    <row r="3938" spans="3:13" ht="12.75" customHeight="1" x14ac:dyDescent="0.2">
      <c r="C3938"/>
      <c r="M3938"/>
    </row>
    <row r="3939" spans="3:13" ht="12.75" customHeight="1" x14ac:dyDescent="0.2">
      <c r="C3939"/>
      <c r="M3939"/>
    </row>
    <row r="3940" spans="3:13" ht="12.75" customHeight="1" x14ac:dyDescent="0.2">
      <c r="C3940"/>
      <c r="M3940"/>
    </row>
    <row r="3941" spans="3:13" ht="12.75" customHeight="1" x14ac:dyDescent="0.2">
      <c r="C3941"/>
      <c r="M3941"/>
    </row>
    <row r="3942" spans="3:13" ht="12.75" customHeight="1" x14ac:dyDescent="0.2">
      <c r="C3942"/>
      <c r="M3942"/>
    </row>
    <row r="3943" spans="3:13" ht="12.75" customHeight="1" x14ac:dyDescent="0.2">
      <c r="C3943"/>
      <c r="M3943"/>
    </row>
    <row r="3944" spans="3:13" ht="12.75" customHeight="1" x14ac:dyDescent="0.2">
      <c r="C3944"/>
      <c r="M3944"/>
    </row>
    <row r="3945" spans="3:13" ht="12.75" customHeight="1" x14ac:dyDescent="0.2">
      <c r="C3945"/>
      <c r="M3945"/>
    </row>
    <row r="3946" spans="3:13" ht="12.75" customHeight="1" x14ac:dyDescent="0.2">
      <c r="C3946"/>
      <c r="M3946"/>
    </row>
    <row r="3947" spans="3:13" ht="12.75" customHeight="1" x14ac:dyDescent="0.2">
      <c r="C3947"/>
      <c r="M3947"/>
    </row>
    <row r="3948" spans="3:13" ht="12.75" customHeight="1" x14ac:dyDescent="0.2">
      <c r="C3948"/>
      <c r="M3948"/>
    </row>
    <row r="3949" spans="3:13" ht="12.75" customHeight="1" x14ac:dyDescent="0.2">
      <c r="C3949"/>
      <c r="M3949"/>
    </row>
    <row r="3950" spans="3:13" ht="12.75" customHeight="1" x14ac:dyDescent="0.2">
      <c r="C3950"/>
      <c r="M3950"/>
    </row>
    <row r="3951" spans="3:13" ht="12.75" customHeight="1" x14ac:dyDescent="0.2">
      <c r="C3951"/>
      <c r="M3951"/>
    </row>
    <row r="3952" spans="3:13" ht="12.75" customHeight="1" x14ac:dyDescent="0.2">
      <c r="C3952"/>
      <c r="M3952"/>
    </row>
    <row r="3953" spans="3:13" ht="12.75" customHeight="1" x14ac:dyDescent="0.2">
      <c r="C3953"/>
      <c r="M3953"/>
    </row>
    <row r="3954" spans="3:13" ht="12.75" customHeight="1" x14ac:dyDescent="0.2">
      <c r="C3954"/>
      <c r="M3954"/>
    </row>
    <row r="3955" spans="3:13" ht="12.75" customHeight="1" x14ac:dyDescent="0.2">
      <c r="C3955"/>
      <c r="M3955"/>
    </row>
    <row r="3956" spans="3:13" ht="12.75" customHeight="1" x14ac:dyDescent="0.2">
      <c r="C3956"/>
      <c r="M3956"/>
    </row>
    <row r="3957" spans="3:13" ht="12.75" customHeight="1" x14ac:dyDescent="0.2">
      <c r="C3957"/>
      <c r="M3957"/>
    </row>
    <row r="3958" spans="3:13" ht="12.75" customHeight="1" x14ac:dyDescent="0.2">
      <c r="C3958"/>
      <c r="M3958"/>
    </row>
    <row r="3959" spans="3:13" ht="12.75" customHeight="1" x14ac:dyDescent="0.2">
      <c r="C3959"/>
      <c r="M3959"/>
    </row>
    <row r="3960" spans="3:13" ht="12.75" customHeight="1" x14ac:dyDescent="0.2">
      <c r="C3960"/>
      <c r="M3960"/>
    </row>
    <row r="3961" spans="3:13" ht="12.75" customHeight="1" x14ac:dyDescent="0.2">
      <c r="C3961"/>
      <c r="M3961"/>
    </row>
    <row r="3962" spans="3:13" ht="12.75" customHeight="1" x14ac:dyDescent="0.2">
      <c r="C3962"/>
      <c r="M3962"/>
    </row>
    <row r="3963" spans="3:13" ht="12.75" customHeight="1" x14ac:dyDescent="0.2">
      <c r="C3963"/>
      <c r="M3963"/>
    </row>
    <row r="3964" spans="3:13" ht="12.75" customHeight="1" x14ac:dyDescent="0.2">
      <c r="C3964"/>
      <c r="M3964"/>
    </row>
    <row r="3965" spans="3:13" ht="12.75" customHeight="1" x14ac:dyDescent="0.2">
      <c r="C3965"/>
      <c r="M3965"/>
    </row>
    <row r="3966" spans="3:13" ht="12.75" customHeight="1" x14ac:dyDescent="0.2">
      <c r="C3966"/>
      <c r="M3966"/>
    </row>
    <row r="3967" spans="3:13" ht="12.75" customHeight="1" x14ac:dyDescent="0.2">
      <c r="C3967"/>
      <c r="M3967"/>
    </row>
    <row r="3968" spans="3:13" ht="12.75" customHeight="1" x14ac:dyDescent="0.2">
      <c r="C3968"/>
      <c r="M3968"/>
    </row>
    <row r="3969" spans="3:13" ht="12.75" customHeight="1" x14ac:dyDescent="0.2">
      <c r="C3969"/>
      <c r="M3969"/>
    </row>
    <row r="3970" spans="3:13" ht="12.75" customHeight="1" x14ac:dyDescent="0.2">
      <c r="C3970"/>
      <c r="M3970"/>
    </row>
    <row r="3971" spans="3:13" ht="12.75" customHeight="1" x14ac:dyDescent="0.2">
      <c r="C3971"/>
      <c r="M3971"/>
    </row>
    <row r="3972" spans="3:13" ht="12.75" customHeight="1" x14ac:dyDescent="0.2">
      <c r="C3972"/>
      <c r="M3972"/>
    </row>
    <row r="3973" spans="3:13" ht="12.75" customHeight="1" x14ac:dyDescent="0.2">
      <c r="C3973"/>
      <c r="M3973"/>
    </row>
    <row r="3974" spans="3:13" ht="12.75" customHeight="1" x14ac:dyDescent="0.2">
      <c r="C3974"/>
      <c r="M3974"/>
    </row>
    <row r="3975" spans="3:13" ht="12.75" customHeight="1" x14ac:dyDescent="0.2">
      <c r="C3975"/>
      <c r="M3975"/>
    </row>
    <row r="3976" spans="3:13" ht="12.75" customHeight="1" x14ac:dyDescent="0.2">
      <c r="C3976"/>
      <c r="M3976"/>
    </row>
    <row r="3977" spans="3:13" ht="12.75" customHeight="1" x14ac:dyDescent="0.2">
      <c r="C3977"/>
      <c r="M3977"/>
    </row>
    <row r="3978" spans="3:13" ht="12.75" customHeight="1" x14ac:dyDescent="0.2">
      <c r="C3978"/>
      <c r="M3978"/>
    </row>
    <row r="3979" spans="3:13" ht="12.75" customHeight="1" x14ac:dyDescent="0.2">
      <c r="C3979"/>
      <c r="M3979"/>
    </row>
    <row r="3980" spans="3:13" ht="12.75" customHeight="1" x14ac:dyDescent="0.2">
      <c r="C3980"/>
      <c r="M3980"/>
    </row>
    <row r="3981" spans="3:13" ht="12.75" customHeight="1" x14ac:dyDescent="0.2">
      <c r="C3981"/>
      <c r="M3981"/>
    </row>
    <row r="3982" spans="3:13" ht="12.75" customHeight="1" x14ac:dyDescent="0.2">
      <c r="C3982"/>
      <c r="M3982"/>
    </row>
    <row r="3983" spans="3:13" ht="12.75" customHeight="1" x14ac:dyDescent="0.2">
      <c r="C3983"/>
      <c r="M3983"/>
    </row>
    <row r="3984" spans="3:13" ht="12.75" customHeight="1" x14ac:dyDescent="0.2">
      <c r="C3984"/>
      <c r="M3984"/>
    </row>
    <row r="3985" spans="3:13" ht="12.75" customHeight="1" x14ac:dyDescent="0.2">
      <c r="C3985"/>
      <c r="M3985"/>
    </row>
    <row r="3986" spans="3:13" ht="12.75" customHeight="1" x14ac:dyDescent="0.2">
      <c r="C3986"/>
      <c r="M3986"/>
    </row>
    <row r="3987" spans="3:13" ht="12.75" customHeight="1" x14ac:dyDescent="0.2">
      <c r="C3987"/>
      <c r="M3987"/>
    </row>
    <row r="3988" spans="3:13" ht="12.75" customHeight="1" x14ac:dyDescent="0.2">
      <c r="C3988"/>
      <c r="M3988"/>
    </row>
    <row r="3989" spans="3:13" ht="12.75" customHeight="1" x14ac:dyDescent="0.2">
      <c r="C3989"/>
      <c r="M3989"/>
    </row>
    <row r="3990" spans="3:13" ht="12.75" customHeight="1" x14ac:dyDescent="0.2">
      <c r="C3990"/>
      <c r="M3990"/>
    </row>
    <row r="3991" spans="3:13" ht="12.75" customHeight="1" x14ac:dyDescent="0.2">
      <c r="C3991"/>
      <c r="M3991"/>
    </row>
    <row r="3992" spans="3:13" ht="12.75" customHeight="1" x14ac:dyDescent="0.2">
      <c r="C3992"/>
      <c r="M3992"/>
    </row>
    <row r="3993" spans="3:13" ht="12.75" customHeight="1" x14ac:dyDescent="0.2">
      <c r="C3993"/>
      <c r="M3993"/>
    </row>
    <row r="3994" spans="3:13" ht="12.75" customHeight="1" x14ac:dyDescent="0.2">
      <c r="C3994"/>
      <c r="M3994"/>
    </row>
    <row r="3995" spans="3:13" ht="12.75" customHeight="1" x14ac:dyDescent="0.2">
      <c r="C3995"/>
      <c r="M3995"/>
    </row>
    <row r="3996" spans="3:13" ht="12.75" customHeight="1" x14ac:dyDescent="0.2">
      <c r="C3996"/>
      <c r="M3996"/>
    </row>
    <row r="3997" spans="3:13" ht="12.75" customHeight="1" x14ac:dyDescent="0.2">
      <c r="C3997"/>
      <c r="M3997"/>
    </row>
    <row r="3998" spans="3:13" ht="12.75" customHeight="1" x14ac:dyDescent="0.2">
      <c r="C3998"/>
      <c r="M3998"/>
    </row>
    <row r="3999" spans="3:13" ht="12.75" customHeight="1" x14ac:dyDescent="0.2">
      <c r="C3999"/>
      <c r="M3999"/>
    </row>
    <row r="4000" spans="3:13" ht="12.75" customHeight="1" x14ac:dyDescent="0.2">
      <c r="C4000"/>
      <c r="M4000"/>
    </row>
    <row r="4001" spans="3:13" ht="12.75" customHeight="1" x14ac:dyDescent="0.2">
      <c r="C4001"/>
      <c r="M4001"/>
    </row>
    <row r="4002" spans="3:13" ht="12.75" customHeight="1" x14ac:dyDescent="0.2">
      <c r="C4002"/>
      <c r="M4002"/>
    </row>
    <row r="4003" spans="3:13" ht="12.75" customHeight="1" x14ac:dyDescent="0.2">
      <c r="C4003"/>
      <c r="M4003"/>
    </row>
    <row r="4004" spans="3:13" ht="12.75" customHeight="1" x14ac:dyDescent="0.2">
      <c r="C4004"/>
      <c r="M4004"/>
    </row>
    <row r="4005" spans="3:13" ht="12.75" customHeight="1" x14ac:dyDescent="0.2">
      <c r="C4005"/>
      <c r="M4005"/>
    </row>
    <row r="4006" spans="3:13" ht="12.75" customHeight="1" x14ac:dyDescent="0.2">
      <c r="C4006"/>
      <c r="M4006"/>
    </row>
    <row r="4007" spans="3:13" ht="12.75" customHeight="1" x14ac:dyDescent="0.2">
      <c r="C4007"/>
      <c r="M4007"/>
    </row>
    <row r="4008" spans="3:13" ht="12.75" customHeight="1" x14ac:dyDescent="0.2">
      <c r="C4008"/>
      <c r="M4008"/>
    </row>
    <row r="4009" spans="3:13" ht="12.75" customHeight="1" x14ac:dyDescent="0.2">
      <c r="C4009"/>
      <c r="M4009"/>
    </row>
    <row r="4010" spans="3:13" ht="12.75" customHeight="1" x14ac:dyDescent="0.2">
      <c r="C4010"/>
      <c r="M4010"/>
    </row>
    <row r="4011" spans="3:13" ht="12.75" customHeight="1" x14ac:dyDescent="0.2">
      <c r="C4011"/>
      <c r="M4011"/>
    </row>
    <row r="4012" spans="3:13" ht="12.75" customHeight="1" x14ac:dyDescent="0.2">
      <c r="C4012"/>
      <c r="M4012"/>
    </row>
    <row r="4013" spans="3:13" ht="12.75" customHeight="1" x14ac:dyDescent="0.2">
      <c r="C4013"/>
      <c r="M4013"/>
    </row>
    <row r="4014" spans="3:13" ht="12.75" customHeight="1" x14ac:dyDescent="0.2">
      <c r="C4014"/>
      <c r="M4014"/>
    </row>
    <row r="4015" spans="3:13" ht="12.75" customHeight="1" x14ac:dyDescent="0.2">
      <c r="C4015"/>
      <c r="M4015"/>
    </row>
    <row r="4016" spans="3:13" ht="12.75" customHeight="1" x14ac:dyDescent="0.2">
      <c r="C4016"/>
      <c r="M4016"/>
    </row>
    <row r="4017" spans="3:13" ht="12.75" customHeight="1" x14ac:dyDescent="0.2">
      <c r="C4017"/>
      <c r="M4017"/>
    </row>
    <row r="4018" spans="3:13" ht="12.75" customHeight="1" x14ac:dyDescent="0.2">
      <c r="C4018"/>
      <c r="M4018"/>
    </row>
    <row r="4019" spans="3:13" ht="12.75" customHeight="1" x14ac:dyDescent="0.2">
      <c r="C4019"/>
      <c r="M4019"/>
    </row>
    <row r="4020" spans="3:13" ht="12.75" customHeight="1" x14ac:dyDescent="0.2">
      <c r="C4020"/>
      <c r="M4020"/>
    </row>
    <row r="4021" spans="3:13" ht="12.75" customHeight="1" x14ac:dyDescent="0.2">
      <c r="C4021"/>
      <c r="M4021"/>
    </row>
    <row r="4022" spans="3:13" ht="12.75" customHeight="1" x14ac:dyDescent="0.2">
      <c r="C4022"/>
      <c r="M4022"/>
    </row>
    <row r="4023" spans="3:13" ht="12.75" customHeight="1" x14ac:dyDescent="0.2">
      <c r="C4023"/>
      <c r="M4023"/>
    </row>
    <row r="4024" spans="3:13" ht="12.75" customHeight="1" x14ac:dyDescent="0.2">
      <c r="C4024"/>
      <c r="M4024"/>
    </row>
    <row r="4025" spans="3:13" ht="12.75" customHeight="1" x14ac:dyDescent="0.2">
      <c r="C4025"/>
      <c r="M4025"/>
    </row>
    <row r="4026" spans="3:13" ht="12.75" customHeight="1" x14ac:dyDescent="0.2">
      <c r="C4026"/>
      <c r="M4026"/>
    </row>
    <row r="4027" spans="3:13" ht="12.75" customHeight="1" x14ac:dyDescent="0.2">
      <c r="C4027"/>
      <c r="M4027"/>
    </row>
    <row r="4028" spans="3:13" ht="12.75" customHeight="1" x14ac:dyDescent="0.2">
      <c r="C4028"/>
      <c r="M4028"/>
    </row>
    <row r="4029" spans="3:13" ht="12.75" customHeight="1" x14ac:dyDescent="0.2">
      <c r="C4029"/>
      <c r="M4029"/>
    </row>
    <row r="4030" spans="3:13" ht="12.75" customHeight="1" x14ac:dyDescent="0.2">
      <c r="C4030"/>
      <c r="M4030"/>
    </row>
    <row r="4031" spans="3:13" ht="12.75" customHeight="1" x14ac:dyDescent="0.2">
      <c r="C4031"/>
      <c r="M4031"/>
    </row>
    <row r="4032" spans="3:13" ht="12.75" customHeight="1" x14ac:dyDescent="0.2">
      <c r="C4032"/>
      <c r="M4032"/>
    </row>
    <row r="4033" spans="3:13" ht="12.75" customHeight="1" x14ac:dyDescent="0.2">
      <c r="C4033"/>
      <c r="M4033"/>
    </row>
    <row r="4034" spans="3:13" ht="12.75" customHeight="1" x14ac:dyDescent="0.2">
      <c r="C4034"/>
      <c r="M4034"/>
    </row>
    <row r="4035" spans="3:13" ht="12.75" customHeight="1" x14ac:dyDescent="0.2">
      <c r="C4035"/>
      <c r="M4035"/>
    </row>
    <row r="4036" spans="3:13" ht="12.75" customHeight="1" x14ac:dyDescent="0.2">
      <c r="C4036"/>
      <c r="M4036"/>
    </row>
    <row r="4037" spans="3:13" ht="12.75" customHeight="1" x14ac:dyDescent="0.2">
      <c r="C4037"/>
      <c r="M4037"/>
    </row>
    <row r="4038" spans="3:13" ht="12.75" customHeight="1" x14ac:dyDescent="0.2">
      <c r="C4038"/>
      <c r="M4038"/>
    </row>
    <row r="4039" spans="3:13" ht="12.75" customHeight="1" x14ac:dyDescent="0.2">
      <c r="C4039"/>
      <c r="M4039"/>
    </row>
    <row r="4040" spans="3:13" ht="12.75" customHeight="1" x14ac:dyDescent="0.2">
      <c r="C4040"/>
      <c r="M4040"/>
    </row>
    <row r="4041" spans="3:13" ht="12.75" customHeight="1" x14ac:dyDescent="0.2">
      <c r="C4041"/>
      <c r="M4041"/>
    </row>
    <row r="4042" spans="3:13" ht="12.75" customHeight="1" x14ac:dyDescent="0.2">
      <c r="C4042"/>
      <c r="M4042"/>
    </row>
    <row r="4043" spans="3:13" ht="12.75" customHeight="1" x14ac:dyDescent="0.2">
      <c r="C4043"/>
      <c r="M4043"/>
    </row>
    <row r="4044" spans="3:13" ht="12.75" customHeight="1" x14ac:dyDescent="0.2">
      <c r="C4044"/>
      <c r="M4044"/>
    </row>
    <row r="4045" spans="3:13" ht="12.75" customHeight="1" x14ac:dyDescent="0.2">
      <c r="C4045"/>
      <c r="M4045"/>
    </row>
    <row r="4046" spans="3:13" ht="12.75" customHeight="1" x14ac:dyDescent="0.2">
      <c r="C4046"/>
      <c r="M4046"/>
    </row>
    <row r="4047" spans="3:13" ht="12.75" customHeight="1" x14ac:dyDescent="0.2">
      <c r="C4047"/>
      <c r="M4047"/>
    </row>
    <row r="4048" spans="3:13" ht="12.75" customHeight="1" x14ac:dyDescent="0.2">
      <c r="C4048"/>
      <c r="M4048"/>
    </row>
    <row r="4049" spans="3:13" ht="12.75" customHeight="1" x14ac:dyDescent="0.2">
      <c r="C4049"/>
      <c r="M4049"/>
    </row>
    <row r="4050" spans="3:13" ht="12.75" customHeight="1" x14ac:dyDescent="0.2">
      <c r="C4050"/>
      <c r="M4050"/>
    </row>
    <row r="4051" spans="3:13" ht="12.75" customHeight="1" x14ac:dyDescent="0.2">
      <c r="C4051"/>
      <c r="M4051"/>
    </row>
    <row r="4052" spans="3:13" ht="12.75" customHeight="1" x14ac:dyDescent="0.2">
      <c r="C4052"/>
      <c r="M4052"/>
    </row>
    <row r="4053" spans="3:13" ht="12.75" customHeight="1" x14ac:dyDescent="0.2">
      <c r="C4053"/>
      <c r="M4053"/>
    </row>
    <row r="4054" spans="3:13" ht="12.75" customHeight="1" x14ac:dyDescent="0.2">
      <c r="C4054"/>
      <c r="M4054"/>
    </row>
    <row r="4055" spans="3:13" ht="12.75" customHeight="1" x14ac:dyDescent="0.2">
      <c r="C4055"/>
      <c r="M4055"/>
    </row>
    <row r="4056" spans="3:13" ht="12.75" customHeight="1" x14ac:dyDescent="0.2">
      <c r="C4056"/>
      <c r="M4056"/>
    </row>
    <row r="4057" spans="3:13" ht="12.75" customHeight="1" x14ac:dyDescent="0.2">
      <c r="C4057"/>
      <c r="M4057"/>
    </row>
    <row r="4058" spans="3:13" ht="12.75" customHeight="1" x14ac:dyDescent="0.2">
      <c r="C4058"/>
      <c r="M4058"/>
    </row>
    <row r="4059" spans="3:13" ht="12.75" customHeight="1" x14ac:dyDescent="0.2">
      <c r="C4059"/>
      <c r="M4059"/>
    </row>
    <row r="4060" spans="3:13" ht="12.75" customHeight="1" x14ac:dyDescent="0.2">
      <c r="C4060"/>
      <c r="M4060"/>
    </row>
    <row r="4061" spans="3:13" ht="12.75" customHeight="1" x14ac:dyDescent="0.2">
      <c r="C4061"/>
      <c r="M4061"/>
    </row>
    <row r="4062" spans="3:13" ht="12.75" customHeight="1" x14ac:dyDescent="0.2">
      <c r="C4062"/>
      <c r="M4062"/>
    </row>
    <row r="4063" spans="3:13" ht="12.75" customHeight="1" x14ac:dyDescent="0.2">
      <c r="C4063"/>
      <c r="M4063"/>
    </row>
    <row r="4064" spans="3:13" ht="12.75" customHeight="1" x14ac:dyDescent="0.2">
      <c r="C4064"/>
      <c r="M4064"/>
    </row>
    <row r="4065" spans="3:13" ht="12.75" customHeight="1" x14ac:dyDescent="0.2">
      <c r="C4065"/>
      <c r="M4065"/>
    </row>
    <row r="4066" spans="3:13" ht="12.75" customHeight="1" x14ac:dyDescent="0.2">
      <c r="C4066"/>
      <c r="M4066"/>
    </row>
    <row r="4067" spans="3:13" ht="12.75" customHeight="1" x14ac:dyDescent="0.2">
      <c r="C4067"/>
      <c r="M4067"/>
    </row>
    <row r="4068" spans="3:13" ht="12.75" customHeight="1" x14ac:dyDescent="0.2">
      <c r="C4068"/>
      <c r="M4068"/>
    </row>
    <row r="4069" spans="3:13" ht="12.75" customHeight="1" x14ac:dyDescent="0.2">
      <c r="C4069"/>
      <c r="M4069"/>
    </row>
    <row r="4070" spans="3:13" ht="12.75" customHeight="1" x14ac:dyDescent="0.2">
      <c r="C4070"/>
      <c r="M4070"/>
    </row>
    <row r="4071" spans="3:13" ht="12.75" customHeight="1" x14ac:dyDescent="0.2">
      <c r="C4071"/>
      <c r="M4071"/>
    </row>
    <row r="4072" spans="3:13" ht="12.75" customHeight="1" x14ac:dyDescent="0.2">
      <c r="C4072"/>
      <c r="M4072"/>
    </row>
    <row r="4073" spans="3:13" ht="12.75" customHeight="1" x14ac:dyDescent="0.2">
      <c r="C4073"/>
      <c r="M4073"/>
    </row>
    <row r="4074" spans="3:13" ht="12.75" customHeight="1" x14ac:dyDescent="0.2">
      <c r="C4074"/>
      <c r="M4074"/>
    </row>
    <row r="4075" spans="3:13" ht="12.75" customHeight="1" x14ac:dyDescent="0.2">
      <c r="C4075"/>
      <c r="M4075"/>
    </row>
    <row r="4076" spans="3:13" ht="12.75" customHeight="1" x14ac:dyDescent="0.2">
      <c r="C4076"/>
      <c r="M4076"/>
    </row>
    <row r="4077" spans="3:13" ht="12.75" customHeight="1" x14ac:dyDescent="0.2">
      <c r="C4077"/>
      <c r="M4077"/>
    </row>
    <row r="4078" spans="3:13" ht="12.75" customHeight="1" x14ac:dyDescent="0.2">
      <c r="C4078"/>
      <c r="M4078"/>
    </row>
    <row r="4079" spans="3:13" ht="12.75" customHeight="1" x14ac:dyDescent="0.2">
      <c r="C4079"/>
      <c r="M4079"/>
    </row>
    <row r="4080" spans="3:13" ht="12.75" customHeight="1" x14ac:dyDescent="0.2">
      <c r="C4080"/>
      <c r="M4080"/>
    </row>
    <row r="4081" spans="3:13" ht="12.75" customHeight="1" x14ac:dyDescent="0.2">
      <c r="C4081"/>
      <c r="M4081"/>
    </row>
    <row r="4082" spans="3:13" ht="12.75" customHeight="1" x14ac:dyDescent="0.2">
      <c r="C4082"/>
      <c r="M4082"/>
    </row>
    <row r="4083" spans="3:13" ht="12.75" customHeight="1" x14ac:dyDescent="0.2">
      <c r="C4083"/>
      <c r="M4083"/>
    </row>
    <row r="4084" spans="3:13" ht="12.75" customHeight="1" x14ac:dyDescent="0.2">
      <c r="C4084"/>
      <c r="M4084"/>
    </row>
    <row r="4085" spans="3:13" ht="12.75" customHeight="1" x14ac:dyDescent="0.2">
      <c r="C4085"/>
      <c r="M4085"/>
    </row>
    <row r="4086" spans="3:13" ht="12.75" customHeight="1" x14ac:dyDescent="0.2">
      <c r="C4086"/>
      <c r="M4086"/>
    </row>
    <row r="4087" spans="3:13" ht="12.75" customHeight="1" x14ac:dyDescent="0.2">
      <c r="C4087"/>
      <c r="M4087"/>
    </row>
    <row r="4088" spans="3:13" ht="12.75" customHeight="1" x14ac:dyDescent="0.2">
      <c r="C4088"/>
      <c r="M4088"/>
    </row>
    <row r="4089" spans="3:13" ht="12.75" customHeight="1" x14ac:dyDescent="0.2">
      <c r="C4089"/>
      <c r="M4089"/>
    </row>
    <row r="4090" spans="3:13" ht="12.75" customHeight="1" x14ac:dyDescent="0.2">
      <c r="C4090"/>
      <c r="M4090"/>
    </row>
    <row r="4091" spans="3:13" ht="12.75" customHeight="1" x14ac:dyDescent="0.2">
      <c r="C4091"/>
      <c r="M4091"/>
    </row>
    <row r="4092" spans="3:13" ht="12.75" customHeight="1" x14ac:dyDescent="0.2">
      <c r="C4092"/>
      <c r="M4092"/>
    </row>
    <row r="4093" spans="3:13" ht="12.75" customHeight="1" x14ac:dyDescent="0.2">
      <c r="C4093"/>
      <c r="M4093"/>
    </row>
    <row r="4094" spans="3:13" ht="12.75" customHeight="1" x14ac:dyDescent="0.2">
      <c r="C4094"/>
      <c r="M4094"/>
    </row>
    <row r="4095" spans="3:13" ht="12.75" customHeight="1" x14ac:dyDescent="0.2">
      <c r="C4095"/>
      <c r="M4095"/>
    </row>
    <row r="4096" spans="3:13" ht="12.75" customHeight="1" x14ac:dyDescent="0.2">
      <c r="C4096"/>
      <c r="M4096"/>
    </row>
    <row r="4097" spans="3:13" ht="12.75" customHeight="1" x14ac:dyDescent="0.2">
      <c r="C4097"/>
      <c r="M4097"/>
    </row>
    <row r="4098" spans="3:13" ht="12.75" customHeight="1" x14ac:dyDescent="0.2">
      <c r="C4098"/>
      <c r="M4098"/>
    </row>
    <row r="4099" spans="3:13" ht="12.75" customHeight="1" x14ac:dyDescent="0.2">
      <c r="C4099"/>
      <c r="M4099"/>
    </row>
    <row r="4100" spans="3:13" ht="12.75" customHeight="1" x14ac:dyDescent="0.2">
      <c r="C4100"/>
      <c r="M4100"/>
    </row>
    <row r="4101" spans="3:13" ht="12.75" customHeight="1" x14ac:dyDescent="0.2">
      <c r="C4101"/>
      <c r="M4101"/>
    </row>
    <row r="4102" spans="3:13" ht="12.75" customHeight="1" x14ac:dyDescent="0.2">
      <c r="C4102"/>
      <c r="M4102"/>
    </row>
    <row r="4103" spans="3:13" ht="12.75" customHeight="1" x14ac:dyDescent="0.2">
      <c r="C4103"/>
      <c r="M4103"/>
    </row>
    <row r="4104" spans="3:13" ht="12.75" customHeight="1" x14ac:dyDescent="0.2">
      <c r="C4104"/>
      <c r="M4104"/>
    </row>
    <row r="4105" spans="3:13" ht="12.75" customHeight="1" x14ac:dyDescent="0.2">
      <c r="C4105"/>
      <c r="M4105"/>
    </row>
    <row r="4106" spans="3:13" ht="12.75" customHeight="1" x14ac:dyDescent="0.2">
      <c r="C4106"/>
      <c r="M4106"/>
    </row>
    <row r="4107" spans="3:13" ht="12.75" customHeight="1" x14ac:dyDescent="0.2">
      <c r="C4107"/>
      <c r="M4107"/>
    </row>
    <row r="4108" spans="3:13" ht="12.75" customHeight="1" x14ac:dyDescent="0.2">
      <c r="C4108"/>
      <c r="M4108"/>
    </row>
    <row r="4109" spans="3:13" ht="12.75" customHeight="1" x14ac:dyDescent="0.2">
      <c r="C4109"/>
      <c r="M4109"/>
    </row>
    <row r="4110" spans="3:13" ht="12.75" customHeight="1" x14ac:dyDescent="0.2">
      <c r="C4110"/>
      <c r="M4110"/>
    </row>
    <row r="4111" spans="3:13" ht="12.75" customHeight="1" x14ac:dyDescent="0.2">
      <c r="C4111"/>
      <c r="M4111"/>
    </row>
    <row r="4112" spans="3:13" ht="12.75" customHeight="1" x14ac:dyDescent="0.2">
      <c r="C4112"/>
      <c r="M4112"/>
    </row>
    <row r="4113" spans="3:13" ht="12.75" customHeight="1" x14ac:dyDescent="0.2">
      <c r="C4113"/>
      <c r="M4113"/>
    </row>
    <row r="4114" spans="3:13" ht="12.75" customHeight="1" x14ac:dyDescent="0.2">
      <c r="C4114"/>
      <c r="M4114"/>
    </row>
    <row r="4115" spans="3:13" ht="12.75" customHeight="1" x14ac:dyDescent="0.2">
      <c r="C4115"/>
      <c r="M4115"/>
    </row>
    <row r="4116" spans="3:13" ht="12.75" customHeight="1" x14ac:dyDescent="0.2">
      <c r="C4116"/>
      <c r="M4116"/>
    </row>
    <row r="4117" spans="3:13" ht="12.75" customHeight="1" x14ac:dyDescent="0.2">
      <c r="C4117"/>
      <c r="M4117"/>
    </row>
    <row r="4118" spans="3:13" ht="12.75" customHeight="1" x14ac:dyDescent="0.2">
      <c r="C4118"/>
      <c r="M4118"/>
    </row>
    <row r="4119" spans="3:13" ht="12.75" customHeight="1" x14ac:dyDescent="0.2">
      <c r="C4119"/>
      <c r="M4119"/>
    </row>
    <row r="4120" spans="3:13" ht="12.75" customHeight="1" x14ac:dyDescent="0.2">
      <c r="C4120"/>
      <c r="M4120"/>
    </row>
    <row r="4121" spans="3:13" ht="12.75" customHeight="1" x14ac:dyDescent="0.2">
      <c r="C4121"/>
      <c r="M4121"/>
    </row>
    <row r="4122" spans="3:13" ht="12.75" customHeight="1" x14ac:dyDescent="0.2">
      <c r="C4122"/>
      <c r="M4122"/>
    </row>
    <row r="4123" spans="3:13" ht="12.75" customHeight="1" x14ac:dyDescent="0.2">
      <c r="C4123"/>
      <c r="M4123"/>
    </row>
    <row r="4124" spans="3:13" ht="12.75" customHeight="1" x14ac:dyDescent="0.2">
      <c r="C4124"/>
      <c r="M4124"/>
    </row>
    <row r="4125" spans="3:13" ht="12.75" customHeight="1" x14ac:dyDescent="0.2">
      <c r="C4125"/>
      <c r="M4125"/>
    </row>
    <row r="4126" spans="3:13" ht="12.75" customHeight="1" x14ac:dyDescent="0.2">
      <c r="C4126"/>
      <c r="M4126"/>
    </row>
    <row r="4127" spans="3:13" ht="12.75" customHeight="1" x14ac:dyDescent="0.2">
      <c r="C4127"/>
      <c r="M4127"/>
    </row>
    <row r="4128" spans="3:13" ht="12.75" customHeight="1" x14ac:dyDescent="0.2">
      <c r="C4128"/>
      <c r="M4128"/>
    </row>
    <row r="4129" spans="3:13" ht="12.75" customHeight="1" x14ac:dyDescent="0.2">
      <c r="C4129"/>
      <c r="M4129"/>
    </row>
    <row r="4130" spans="3:13" ht="12.75" customHeight="1" x14ac:dyDescent="0.2">
      <c r="C4130"/>
      <c r="M4130"/>
    </row>
    <row r="4131" spans="3:13" ht="12.75" customHeight="1" x14ac:dyDescent="0.2">
      <c r="C4131"/>
      <c r="M4131"/>
    </row>
    <row r="4132" spans="3:13" ht="12.75" customHeight="1" x14ac:dyDescent="0.2">
      <c r="C4132"/>
      <c r="M4132"/>
    </row>
    <row r="4133" spans="3:13" ht="12.75" customHeight="1" x14ac:dyDescent="0.2">
      <c r="C4133"/>
      <c r="M4133"/>
    </row>
    <row r="4134" spans="3:13" ht="12.75" customHeight="1" x14ac:dyDescent="0.2">
      <c r="C4134"/>
      <c r="M4134"/>
    </row>
    <row r="4135" spans="3:13" ht="12.75" customHeight="1" x14ac:dyDescent="0.2">
      <c r="C4135"/>
      <c r="M4135"/>
    </row>
    <row r="4136" spans="3:13" ht="12.75" customHeight="1" x14ac:dyDescent="0.2">
      <c r="C4136"/>
      <c r="M4136"/>
    </row>
    <row r="4137" spans="3:13" ht="12.75" customHeight="1" x14ac:dyDescent="0.2">
      <c r="C4137"/>
      <c r="M4137"/>
    </row>
    <row r="4138" spans="3:13" ht="12.75" customHeight="1" x14ac:dyDescent="0.2">
      <c r="C4138"/>
      <c r="M4138"/>
    </row>
    <row r="4139" spans="3:13" ht="12.75" customHeight="1" x14ac:dyDescent="0.2">
      <c r="C4139"/>
      <c r="M4139"/>
    </row>
    <row r="4140" spans="3:13" ht="12.75" customHeight="1" x14ac:dyDescent="0.2">
      <c r="C4140"/>
      <c r="M4140"/>
    </row>
    <row r="4141" spans="3:13" ht="12.75" customHeight="1" x14ac:dyDescent="0.2">
      <c r="C4141"/>
      <c r="M4141"/>
    </row>
    <row r="4142" spans="3:13" ht="12.75" customHeight="1" x14ac:dyDescent="0.2">
      <c r="C4142"/>
      <c r="M4142"/>
    </row>
    <row r="4143" spans="3:13" ht="12.75" customHeight="1" x14ac:dyDescent="0.2">
      <c r="C4143"/>
      <c r="M4143"/>
    </row>
    <row r="4144" spans="3:13" ht="12.75" customHeight="1" x14ac:dyDescent="0.2">
      <c r="C4144"/>
      <c r="M4144"/>
    </row>
    <row r="4145" spans="3:13" ht="12.75" customHeight="1" x14ac:dyDescent="0.2">
      <c r="C4145"/>
      <c r="M4145"/>
    </row>
    <row r="4146" spans="3:13" ht="12.75" customHeight="1" x14ac:dyDescent="0.2">
      <c r="C4146"/>
      <c r="M4146"/>
    </row>
    <row r="4147" spans="3:13" ht="12.75" customHeight="1" x14ac:dyDescent="0.2">
      <c r="C4147"/>
      <c r="M4147"/>
    </row>
    <row r="4148" spans="3:13" ht="12.75" customHeight="1" x14ac:dyDescent="0.2">
      <c r="C4148"/>
      <c r="M4148"/>
    </row>
    <row r="4149" spans="3:13" ht="12.75" customHeight="1" x14ac:dyDescent="0.2">
      <c r="C4149"/>
      <c r="M4149"/>
    </row>
    <row r="4150" spans="3:13" ht="12.75" customHeight="1" x14ac:dyDescent="0.2">
      <c r="C4150"/>
      <c r="M4150"/>
    </row>
    <row r="4151" spans="3:13" ht="12.75" customHeight="1" x14ac:dyDescent="0.2">
      <c r="C4151"/>
      <c r="M4151"/>
    </row>
    <row r="4152" spans="3:13" ht="12.75" customHeight="1" x14ac:dyDescent="0.2">
      <c r="C4152"/>
      <c r="M4152"/>
    </row>
    <row r="4153" spans="3:13" ht="12.75" customHeight="1" x14ac:dyDescent="0.2">
      <c r="C4153"/>
      <c r="M4153"/>
    </row>
    <row r="4154" spans="3:13" ht="12.75" customHeight="1" x14ac:dyDescent="0.2">
      <c r="C4154"/>
      <c r="M4154"/>
    </row>
    <row r="4155" spans="3:13" ht="12.75" customHeight="1" x14ac:dyDescent="0.2">
      <c r="C4155"/>
      <c r="M4155"/>
    </row>
    <row r="4156" spans="3:13" ht="12.75" customHeight="1" x14ac:dyDescent="0.2">
      <c r="C4156"/>
      <c r="M4156"/>
    </row>
    <row r="4157" spans="3:13" ht="12.75" customHeight="1" x14ac:dyDescent="0.2">
      <c r="C4157"/>
      <c r="M4157"/>
    </row>
    <row r="4158" spans="3:13" ht="12.75" customHeight="1" x14ac:dyDescent="0.2">
      <c r="C4158"/>
      <c r="M4158"/>
    </row>
    <row r="4159" spans="3:13" ht="12.75" customHeight="1" x14ac:dyDescent="0.2">
      <c r="C4159"/>
      <c r="M4159"/>
    </row>
    <row r="4160" spans="3:13" ht="12.75" customHeight="1" x14ac:dyDescent="0.2">
      <c r="C4160"/>
      <c r="M4160"/>
    </row>
    <row r="4161" spans="3:13" ht="12.75" customHeight="1" x14ac:dyDescent="0.2">
      <c r="C4161"/>
      <c r="M4161"/>
    </row>
    <row r="4162" spans="3:13" ht="12.75" customHeight="1" x14ac:dyDescent="0.2">
      <c r="C4162"/>
      <c r="M4162"/>
    </row>
    <row r="4163" spans="3:13" ht="12.75" customHeight="1" x14ac:dyDescent="0.2">
      <c r="C4163"/>
      <c r="M4163"/>
    </row>
    <row r="4164" spans="3:13" ht="12.75" customHeight="1" x14ac:dyDescent="0.2">
      <c r="C4164"/>
      <c r="M4164"/>
    </row>
    <row r="4165" spans="3:13" ht="12.75" customHeight="1" x14ac:dyDescent="0.2">
      <c r="C4165"/>
      <c r="M4165"/>
    </row>
    <row r="4166" spans="3:13" ht="12.75" customHeight="1" x14ac:dyDescent="0.2">
      <c r="C4166"/>
      <c r="M4166"/>
    </row>
    <row r="4167" spans="3:13" ht="12.75" customHeight="1" x14ac:dyDescent="0.2">
      <c r="C4167"/>
      <c r="M4167"/>
    </row>
    <row r="4168" spans="3:13" ht="12.75" customHeight="1" x14ac:dyDescent="0.2">
      <c r="C4168"/>
      <c r="M4168"/>
    </row>
    <row r="4169" spans="3:13" ht="12.75" customHeight="1" x14ac:dyDescent="0.2">
      <c r="C4169"/>
      <c r="M4169"/>
    </row>
    <row r="4170" spans="3:13" ht="12.75" customHeight="1" x14ac:dyDescent="0.2">
      <c r="C4170"/>
      <c r="M4170"/>
    </row>
    <row r="4171" spans="3:13" ht="12.75" customHeight="1" x14ac:dyDescent="0.2">
      <c r="C4171"/>
      <c r="M4171"/>
    </row>
    <row r="4172" spans="3:13" ht="12.75" customHeight="1" x14ac:dyDescent="0.2">
      <c r="C4172"/>
      <c r="M4172"/>
    </row>
    <row r="4173" spans="3:13" ht="12.75" customHeight="1" x14ac:dyDescent="0.2">
      <c r="C4173"/>
      <c r="M4173"/>
    </row>
    <row r="4174" spans="3:13" ht="12.75" customHeight="1" x14ac:dyDescent="0.2">
      <c r="C4174"/>
      <c r="M4174"/>
    </row>
    <row r="4175" spans="3:13" ht="12.75" customHeight="1" x14ac:dyDescent="0.2">
      <c r="C4175"/>
      <c r="M4175"/>
    </row>
    <row r="4176" spans="3:13" ht="12.75" customHeight="1" x14ac:dyDescent="0.2">
      <c r="C4176"/>
      <c r="M4176"/>
    </row>
    <row r="4177" spans="3:13" ht="12.75" customHeight="1" x14ac:dyDescent="0.2">
      <c r="C4177"/>
      <c r="M4177"/>
    </row>
    <row r="4178" spans="3:13" ht="12.75" customHeight="1" x14ac:dyDescent="0.2">
      <c r="C4178"/>
      <c r="M4178"/>
    </row>
    <row r="4179" spans="3:13" ht="12.75" customHeight="1" x14ac:dyDescent="0.2">
      <c r="C4179"/>
      <c r="M4179"/>
    </row>
    <row r="4180" spans="3:13" ht="12.75" customHeight="1" x14ac:dyDescent="0.2">
      <c r="C4180"/>
      <c r="M4180"/>
    </row>
    <row r="4181" spans="3:13" ht="12.75" customHeight="1" x14ac:dyDescent="0.2">
      <c r="C4181"/>
      <c r="M4181"/>
    </row>
    <row r="4182" spans="3:13" ht="12.75" customHeight="1" x14ac:dyDescent="0.2">
      <c r="C4182"/>
      <c r="M4182"/>
    </row>
    <row r="4183" spans="3:13" ht="12.75" customHeight="1" x14ac:dyDescent="0.2">
      <c r="C4183"/>
      <c r="M4183"/>
    </row>
    <row r="4184" spans="3:13" ht="12.75" customHeight="1" x14ac:dyDescent="0.2">
      <c r="C4184"/>
      <c r="M4184"/>
    </row>
    <row r="4185" spans="3:13" ht="12.75" customHeight="1" x14ac:dyDescent="0.2">
      <c r="C4185"/>
      <c r="M4185"/>
    </row>
    <row r="4186" spans="3:13" ht="12.75" customHeight="1" x14ac:dyDescent="0.2">
      <c r="C4186"/>
      <c r="M4186"/>
    </row>
    <row r="4187" spans="3:13" ht="12.75" customHeight="1" x14ac:dyDescent="0.2">
      <c r="C4187"/>
      <c r="M4187"/>
    </row>
    <row r="4188" spans="3:13" ht="12.75" customHeight="1" x14ac:dyDescent="0.2">
      <c r="C4188"/>
      <c r="M4188"/>
    </row>
    <row r="4189" spans="3:13" ht="12.75" customHeight="1" x14ac:dyDescent="0.2">
      <c r="C4189"/>
      <c r="M4189"/>
    </row>
    <row r="4190" spans="3:13" ht="12.75" customHeight="1" x14ac:dyDescent="0.2">
      <c r="C4190"/>
      <c r="M4190"/>
    </row>
    <row r="4191" spans="3:13" ht="12.75" customHeight="1" x14ac:dyDescent="0.2">
      <c r="C4191"/>
      <c r="M4191"/>
    </row>
    <row r="4192" spans="3:13" ht="12.75" customHeight="1" x14ac:dyDescent="0.2">
      <c r="C4192"/>
      <c r="M4192"/>
    </row>
    <row r="4193" spans="3:13" ht="12.75" customHeight="1" x14ac:dyDescent="0.2">
      <c r="C4193"/>
      <c r="M4193"/>
    </row>
    <row r="4194" spans="3:13" ht="12.75" customHeight="1" x14ac:dyDescent="0.2">
      <c r="C4194"/>
      <c r="M4194"/>
    </row>
    <row r="4195" spans="3:13" ht="12.75" customHeight="1" x14ac:dyDescent="0.2">
      <c r="C4195"/>
      <c r="M4195"/>
    </row>
    <row r="4196" spans="3:13" ht="12.75" customHeight="1" x14ac:dyDescent="0.2">
      <c r="C4196"/>
      <c r="M4196"/>
    </row>
    <row r="4197" spans="3:13" ht="12.75" customHeight="1" x14ac:dyDescent="0.2">
      <c r="C4197"/>
      <c r="M4197"/>
    </row>
    <row r="4198" spans="3:13" ht="12.75" customHeight="1" x14ac:dyDescent="0.2">
      <c r="C4198"/>
      <c r="M4198"/>
    </row>
    <row r="4199" spans="3:13" ht="12.75" customHeight="1" x14ac:dyDescent="0.2">
      <c r="C4199"/>
      <c r="M4199"/>
    </row>
    <row r="4200" spans="3:13" ht="12.75" customHeight="1" x14ac:dyDescent="0.2">
      <c r="C4200"/>
      <c r="M4200"/>
    </row>
    <row r="4201" spans="3:13" ht="12.75" customHeight="1" x14ac:dyDescent="0.2">
      <c r="C4201"/>
      <c r="M4201"/>
    </row>
    <row r="4202" spans="3:13" ht="12.75" customHeight="1" x14ac:dyDescent="0.2">
      <c r="C4202"/>
      <c r="M4202"/>
    </row>
    <row r="4203" spans="3:13" ht="12.75" customHeight="1" x14ac:dyDescent="0.2">
      <c r="C4203"/>
      <c r="M4203"/>
    </row>
    <row r="4204" spans="3:13" ht="12.75" customHeight="1" x14ac:dyDescent="0.2">
      <c r="C4204"/>
      <c r="M4204"/>
    </row>
    <row r="4205" spans="3:13" ht="12.75" customHeight="1" x14ac:dyDescent="0.2">
      <c r="C4205"/>
      <c r="M4205"/>
    </row>
    <row r="4206" spans="3:13" ht="12.75" customHeight="1" x14ac:dyDescent="0.2">
      <c r="C4206"/>
      <c r="M4206"/>
    </row>
    <row r="4207" spans="3:13" ht="12.75" customHeight="1" x14ac:dyDescent="0.2">
      <c r="C4207"/>
      <c r="M4207"/>
    </row>
    <row r="4208" spans="3:13" ht="12.75" customHeight="1" x14ac:dyDescent="0.2">
      <c r="C4208"/>
      <c r="M4208"/>
    </row>
    <row r="4209" spans="3:13" ht="12.75" customHeight="1" x14ac:dyDescent="0.2">
      <c r="C4209"/>
      <c r="M4209"/>
    </row>
    <row r="4210" spans="3:13" ht="12.75" customHeight="1" x14ac:dyDescent="0.2">
      <c r="C4210"/>
      <c r="M4210"/>
    </row>
    <row r="4211" spans="3:13" ht="12.75" customHeight="1" x14ac:dyDescent="0.2">
      <c r="C4211"/>
      <c r="M4211"/>
    </row>
    <row r="4212" spans="3:13" ht="12.75" customHeight="1" x14ac:dyDescent="0.2">
      <c r="C4212"/>
      <c r="M4212"/>
    </row>
    <row r="4213" spans="3:13" ht="12.75" customHeight="1" x14ac:dyDescent="0.2">
      <c r="C4213"/>
      <c r="M4213"/>
    </row>
    <row r="4214" spans="3:13" ht="12.75" customHeight="1" x14ac:dyDescent="0.2">
      <c r="C4214"/>
      <c r="M4214"/>
    </row>
    <row r="4215" spans="3:13" ht="12.75" customHeight="1" x14ac:dyDescent="0.2">
      <c r="C4215"/>
      <c r="M4215"/>
    </row>
    <row r="4216" spans="3:13" ht="12.75" customHeight="1" x14ac:dyDescent="0.2">
      <c r="C4216"/>
      <c r="M4216"/>
    </row>
    <row r="4217" spans="3:13" ht="12.75" customHeight="1" x14ac:dyDescent="0.2">
      <c r="C4217"/>
      <c r="M4217"/>
    </row>
    <row r="4218" spans="3:13" ht="12.75" customHeight="1" x14ac:dyDescent="0.2">
      <c r="C4218"/>
      <c r="M4218"/>
    </row>
    <row r="4219" spans="3:13" ht="12.75" customHeight="1" x14ac:dyDescent="0.2">
      <c r="C4219"/>
      <c r="M4219"/>
    </row>
    <row r="4220" spans="3:13" ht="12.75" customHeight="1" x14ac:dyDescent="0.2">
      <c r="C4220"/>
      <c r="M4220"/>
    </row>
    <row r="4221" spans="3:13" ht="12.75" customHeight="1" x14ac:dyDescent="0.2">
      <c r="C4221"/>
      <c r="M4221"/>
    </row>
    <row r="4222" spans="3:13" ht="12.75" customHeight="1" x14ac:dyDescent="0.2">
      <c r="C4222"/>
      <c r="M4222"/>
    </row>
    <row r="4223" spans="3:13" ht="12.75" customHeight="1" x14ac:dyDescent="0.2">
      <c r="C4223"/>
      <c r="M4223"/>
    </row>
    <row r="4224" spans="3:13" ht="12.75" customHeight="1" x14ac:dyDescent="0.2">
      <c r="C4224"/>
      <c r="M4224"/>
    </row>
    <row r="4225" spans="3:13" ht="12.75" customHeight="1" x14ac:dyDescent="0.2">
      <c r="C4225"/>
      <c r="M4225"/>
    </row>
    <row r="4226" spans="3:13" ht="12.75" customHeight="1" x14ac:dyDescent="0.2">
      <c r="C4226"/>
      <c r="M4226"/>
    </row>
    <row r="4227" spans="3:13" ht="12.75" customHeight="1" x14ac:dyDescent="0.2">
      <c r="C4227"/>
      <c r="M4227"/>
    </row>
    <row r="4228" spans="3:13" ht="12.75" customHeight="1" x14ac:dyDescent="0.2">
      <c r="C4228"/>
      <c r="M4228"/>
    </row>
    <row r="4229" spans="3:13" ht="12.75" customHeight="1" x14ac:dyDescent="0.2">
      <c r="C4229"/>
      <c r="M4229"/>
    </row>
    <row r="4230" spans="3:13" ht="12.75" customHeight="1" x14ac:dyDescent="0.2">
      <c r="C4230"/>
      <c r="M4230"/>
    </row>
    <row r="4231" spans="3:13" ht="12.75" customHeight="1" x14ac:dyDescent="0.2">
      <c r="C4231"/>
      <c r="M4231"/>
    </row>
    <row r="4232" spans="3:13" ht="12.75" customHeight="1" x14ac:dyDescent="0.2">
      <c r="C4232"/>
      <c r="M4232"/>
    </row>
    <row r="4233" spans="3:13" ht="12.75" customHeight="1" x14ac:dyDescent="0.2">
      <c r="C4233"/>
      <c r="M4233"/>
    </row>
    <row r="4234" spans="3:13" ht="12.75" customHeight="1" x14ac:dyDescent="0.2">
      <c r="C4234"/>
      <c r="M4234"/>
    </row>
    <row r="4235" spans="3:13" ht="12.75" customHeight="1" x14ac:dyDescent="0.2">
      <c r="C4235"/>
      <c r="M4235"/>
    </row>
    <row r="4236" spans="3:13" ht="12.75" customHeight="1" x14ac:dyDescent="0.2">
      <c r="C4236"/>
      <c r="M4236"/>
    </row>
    <row r="4237" spans="3:13" ht="12.75" customHeight="1" x14ac:dyDescent="0.2">
      <c r="C4237"/>
      <c r="M4237"/>
    </row>
    <row r="4238" spans="3:13" ht="12.75" customHeight="1" x14ac:dyDescent="0.2">
      <c r="C4238"/>
      <c r="M4238"/>
    </row>
    <row r="4239" spans="3:13" ht="12.75" customHeight="1" x14ac:dyDescent="0.2">
      <c r="C4239"/>
      <c r="M4239"/>
    </row>
    <row r="4240" spans="3:13" ht="12.75" customHeight="1" x14ac:dyDescent="0.2">
      <c r="C4240"/>
      <c r="M4240"/>
    </row>
    <row r="4241" spans="3:13" ht="12.75" customHeight="1" x14ac:dyDescent="0.2">
      <c r="C4241"/>
      <c r="M4241"/>
    </row>
    <row r="4242" spans="3:13" ht="12.75" customHeight="1" x14ac:dyDescent="0.2">
      <c r="C4242"/>
      <c r="M4242"/>
    </row>
    <row r="4243" spans="3:13" ht="12.75" customHeight="1" x14ac:dyDescent="0.2">
      <c r="C4243"/>
      <c r="M4243"/>
    </row>
    <row r="4244" spans="3:13" ht="12.75" customHeight="1" x14ac:dyDescent="0.2">
      <c r="C4244"/>
      <c r="M4244"/>
    </row>
    <row r="4245" spans="3:13" ht="12.75" customHeight="1" x14ac:dyDescent="0.2">
      <c r="C4245"/>
      <c r="M4245"/>
    </row>
    <row r="4246" spans="3:13" ht="12.75" customHeight="1" x14ac:dyDescent="0.2">
      <c r="C4246"/>
      <c r="M4246"/>
    </row>
    <row r="4247" spans="3:13" ht="12.75" customHeight="1" x14ac:dyDescent="0.2">
      <c r="C4247"/>
      <c r="M4247"/>
    </row>
    <row r="4248" spans="3:13" ht="12.75" customHeight="1" x14ac:dyDescent="0.2">
      <c r="C4248"/>
      <c r="M4248"/>
    </row>
    <row r="4249" spans="3:13" ht="12.75" customHeight="1" x14ac:dyDescent="0.2">
      <c r="C4249"/>
      <c r="M4249"/>
    </row>
    <row r="4250" spans="3:13" ht="12.75" customHeight="1" x14ac:dyDescent="0.2">
      <c r="C4250"/>
      <c r="M4250"/>
    </row>
    <row r="4251" spans="3:13" ht="12.75" customHeight="1" x14ac:dyDescent="0.2">
      <c r="C4251"/>
      <c r="M4251"/>
    </row>
    <row r="4252" spans="3:13" ht="12.75" customHeight="1" x14ac:dyDescent="0.2">
      <c r="C4252"/>
      <c r="M4252"/>
    </row>
    <row r="4253" spans="3:13" ht="12.75" customHeight="1" x14ac:dyDescent="0.2">
      <c r="C4253"/>
      <c r="M4253"/>
    </row>
    <row r="4254" spans="3:13" ht="12.75" customHeight="1" x14ac:dyDescent="0.2">
      <c r="C4254"/>
      <c r="M4254"/>
    </row>
    <row r="4255" spans="3:13" ht="12.75" customHeight="1" x14ac:dyDescent="0.2">
      <c r="C4255"/>
      <c r="M4255"/>
    </row>
    <row r="4256" spans="3:13" ht="12.75" customHeight="1" x14ac:dyDescent="0.2">
      <c r="C4256"/>
      <c r="M4256"/>
    </row>
    <row r="4257" spans="3:13" ht="12.75" customHeight="1" x14ac:dyDescent="0.2">
      <c r="C4257"/>
      <c r="M4257"/>
    </row>
    <row r="4258" spans="3:13" ht="12.75" customHeight="1" x14ac:dyDescent="0.2">
      <c r="C4258"/>
      <c r="M4258"/>
    </row>
    <row r="4259" spans="3:13" ht="12.75" customHeight="1" x14ac:dyDescent="0.2">
      <c r="C4259"/>
      <c r="M4259"/>
    </row>
    <row r="4260" spans="3:13" ht="12.75" customHeight="1" x14ac:dyDescent="0.2">
      <c r="C4260"/>
      <c r="M4260"/>
    </row>
    <row r="4261" spans="3:13" ht="12.75" customHeight="1" x14ac:dyDescent="0.2">
      <c r="C4261"/>
      <c r="M4261"/>
    </row>
    <row r="4262" spans="3:13" ht="12.75" customHeight="1" x14ac:dyDescent="0.2">
      <c r="C4262"/>
      <c r="M4262"/>
    </row>
    <row r="4263" spans="3:13" ht="12.75" customHeight="1" x14ac:dyDescent="0.2">
      <c r="C4263"/>
      <c r="M4263"/>
    </row>
    <row r="4264" spans="3:13" ht="12.75" customHeight="1" x14ac:dyDescent="0.2">
      <c r="C4264"/>
      <c r="M4264"/>
    </row>
    <row r="4265" spans="3:13" ht="12.75" customHeight="1" x14ac:dyDescent="0.2">
      <c r="C4265"/>
      <c r="M4265"/>
    </row>
    <row r="4266" spans="3:13" ht="12.75" customHeight="1" x14ac:dyDescent="0.2">
      <c r="C4266"/>
      <c r="M4266"/>
    </row>
    <row r="4267" spans="3:13" ht="12.75" customHeight="1" x14ac:dyDescent="0.2">
      <c r="C4267"/>
      <c r="M4267"/>
    </row>
    <row r="4268" spans="3:13" ht="12.75" customHeight="1" x14ac:dyDescent="0.2">
      <c r="C4268"/>
      <c r="M4268"/>
    </row>
    <row r="4278" spans="3:13" ht="12.75" customHeight="1" x14ac:dyDescent="0.2">
      <c r="C4278"/>
      <c r="M4278"/>
    </row>
    <row r="4279" spans="3:13" ht="12.75" customHeight="1" x14ac:dyDescent="0.2">
      <c r="C4279"/>
      <c r="M4279"/>
    </row>
    <row r="4280" spans="3:13" ht="12.75" customHeight="1" x14ac:dyDescent="0.2">
      <c r="C4280"/>
      <c r="M4280"/>
    </row>
    <row r="4281" spans="3:13" ht="12.75" customHeight="1" x14ac:dyDescent="0.2">
      <c r="C4281"/>
      <c r="M4281"/>
    </row>
    <row r="60939" spans="3:13" ht="12.75" customHeight="1" x14ac:dyDescent="0.2">
      <c r="C60939"/>
      <c r="M60939"/>
    </row>
    <row r="60955" spans="3:13" ht="12.75" customHeight="1" x14ac:dyDescent="0.2">
      <c r="C60955"/>
      <c r="M60955"/>
    </row>
    <row r="60971" spans="3:13" ht="12.75" customHeight="1" x14ac:dyDescent="0.2">
      <c r="C60971"/>
      <c r="M60971"/>
    </row>
    <row r="60987" spans="3:13" ht="12.75" customHeight="1" x14ac:dyDescent="0.2">
      <c r="C60987"/>
      <c r="M60987"/>
    </row>
    <row r="61000" spans="3:13" ht="12.75" customHeight="1" x14ac:dyDescent="0.2">
      <c r="C61000"/>
      <c r="M61000"/>
    </row>
    <row r="61001" spans="3:13" ht="12.75" customHeight="1" x14ac:dyDescent="0.2">
      <c r="C61001"/>
      <c r="M61001"/>
    </row>
    <row r="61003" spans="3:13" ht="12.75" customHeight="1" x14ac:dyDescent="0.2">
      <c r="C61003"/>
      <c r="M61003"/>
    </row>
    <row r="61014" spans="3:13" ht="12.75" customHeight="1" x14ac:dyDescent="0.2">
      <c r="C61014"/>
      <c r="M61014"/>
    </row>
    <row r="61015" spans="3:13" ht="12.75" customHeight="1" x14ac:dyDescent="0.2">
      <c r="C61015"/>
      <c r="M61015"/>
    </row>
    <row r="61016" spans="3:13" ht="12.75" customHeight="1" x14ac:dyDescent="0.2">
      <c r="C61016"/>
      <c r="M61016"/>
    </row>
    <row r="61017" spans="3:13" ht="12.75" customHeight="1" x14ac:dyDescent="0.2">
      <c r="C61017"/>
      <c r="M61017"/>
    </row>
    <row r="61019" spans="3:13" ht="12.75" customHeight="1" x14ac:dyDescent="0.2">
      <c r="C61019"/>
      <c r="M61019"/>
    </row>
    <row r="61030" spans="3:13" ht="12.75" customHeight="1" x14ac:dyDescent="0.2">
      <c r="C61030"/>
      <c r="M61030"/>
    </row>
    <row r="61031" spans="3:13" ht="12.75" customHeight="1" x14ac:dyDescent="0.2">
      <c r="C61031"/>
      <c r="M61031"/>
    </row>
    <row r="61032" spans="3:13" ht="12.75" customHeight="1" x14ac:dyDescent="0.2">
      <c r="C61032"/>
      <c r="M61032"/>
    </row>
    <row r="61033" spans="3:13" ht="12.75" customHeight="1" x14ac:dyDescent="0.2">
      <c r="C61033"/>
      <c r="M61033"/>
    </row>
    <row r="61035" spans="3:13" ht="12.75" customHeight="1" x14ac:dyDescent="0.2">
      <c r="C61035"/>
      <c r="M61035"/>
    </row>
    <row r="61046" spans="3:13" ht="12.75" customHeight="1" x14ac:dyDescent="0.2">
      <c r="C61046"/>
      <c r="M61046"/>
    </row>
    <row r="61047" spans="3:13" ht="12.75" customHeight="1" x14ac:dyDescent="0.2">
      <c r="C61047"/>
      <c r="M61047"/>
    </row>
    <row r="61048" spans="3:13" ht="12.75" customHeight="1" x14ac:dyDescent="0.2">
      <c r="C61048"/>
      <c r="M61048"/>
    </row>
    <row r="61049" spans="3:13" ht="12.75" customHeight="1" x14ac:dyDescent="0.2">
      <c r="C61049"/>
      <c r="M61049"/>
    </row>
    <row r="61051" spans="3:13" ht="12.75" customHeight="1" x14ac:dyDescent="0.2">
      <c r="C61051"/>
      <c r="M61051"/>
    </row>
    <row r="61062" spans="3:13" ht="12.75" customHeight="1" x14ac:dyDescent="0.2">
      <c r="C61062"/>
      <c r="M61062"/>
    </row>
    <row r="61063" spans="3:13" ht="12.75" customHeight="1" x14ac:dyDescent="0.2">
      <c r="C61063"/>
      <c r="M61063"/>
    </row>
    <row r="61064" spans="3:13" ht="12.75" customHeight="1" x14ac:dyDescent="0.2">
      <c r="C61064"/>
      <c r="M61064"/>
    </row>
    <row r="61065" spans="3:13" ht="12.75" customHeight="1" x14ac:dyDescent="0.2">
      <c r="C61065"/>
      <c r="M61065"/>
    </row>
    <row r="61067" spans="3:13" ht="12.75" customHeight="1" x14ac:dyDescent="0.2">
      <c r="C61067"/>
      <c r="M61067"/>
    </row>
    <row r="61078" spans="3:13" ht="12.75" customHeight="1" x14ac:dyDescent="0.2">
      <c r="C61078"/>
      <c r="M61078"/>
    </row>
    <row r="61079" spans="3:13" ht="12.75" customHeight="1" x14ac:dyDescent="0.2">
      <c r="C61079"/>
      <c r="M61079"/>
    </row>
    <row r="61080" spans="3:13" ht="12.75" customHeight="1" x14ac:dyDescent="0.2">
      <c r="C61080"/>
      <c r="M61080"/>
    </row>
    <row r="61081" spans="3:13" ht="12.75" customHeight="1" x14ac:dyDescent="0.2">
      <c r="C61081"/>
      <c r="M61081"/>
    </row>
    <row r="61083" spans="3:13" ht="12.75" customHeight="1" x14ac:dyDescent="0.2">
      <c r="C61083"/>
      <c r="M61083"/>
    </row>
    <row r="61094" spans="3:13" ht="12.75" customHeight="1" x14ac:dyDescent="0.2">
      <c r="C61094"/>
      <c r="M61094"/>
    </row>
    <row r="61095" spans="3:13" ht="12.75" customHeight="1" x14ac:dyDescent="0.2">
      <c r="C61095"/>
      <c r="M61095"/>
    </row>
    <row r="61096" spans="3:13" ht="12.75" customHeight="1" x14ac:dyDescent="0.2">
      <c r="C61096"/>
      <c r="M61096"/>
    </row>
    <row r="61097" spans="3:13" ht="12.75" customHeight="1" x14ac:dyDescent="0.2">
      <c r="C61097"/>
      <c r="M61097"/>
    </row>
    <row r="61099" spans="3:13" ht="12.75" customHeight="1" x14ac:dyDescent="0.2">
      <c r="C61099"/>
      <c r="M61099"/>
    </row>
    <row r="61110" spans="3:13" ht="12.75" customHeight="1" x14ac:dyDescent="0.2">
      <c r="C61110"/>
      <c r="M61110"/>
    </row>
    <row r="61111" spans="3:13" ht="12.75" customHeight="1" x14ac:dyDescent="0.2">
      <c r="C61111"/>
      <c r="M61111"/>
    </row>
    <row r="61112" spans="3:13" ht="12.75" customHeight="1" x14ac:dyDescent="0.2">
      <c r="C61112"/>
      <c r="M61112"/>
    </row>
    <row r="61113" spans="3:13" ht="12.75" customHeight="1" x14ac:dyDescent="0.2">
      <c r="C61113"/>
      <c r="M61113"/>
    </row>
    <row r="61115" spans="3:13" ht="12.75" customHeight="1" x14ac:dyDescent="0.2">
      <c r="C61115"/>
      <c r="M61115"/>
    </row>
    <row r="61126" spans="3:13" ht="12.75" customHeight="1" x14ac:dyDescent="0.2">
      <c r="C61126"/>
      <c r="M61126"/>
    </row>
    <row r="61127" spans="3:13" ht="12.75" customHeight="1" x14ac:dyDescent="0.2">
      <c r="C61127"/>
      <c r="M61127"/>
    </row>
    <row r="61128" spans="3:13" ht="12.75" customHeight="1" x14ac:dyDescent="0.2">
      <c r="C61128"/>
      <c r="M61128"/>
    </row>
    <row r="61129" spans="3:13" ht="12.75" customHeight="1" x14ac:dyDescent="0.2">
      <c r="C61129"/>
      <c r="M61129"/>
    </row>
    <row r="61131" spans="3:13" ht="12.75" customHeight="1" x14ac:dyDescent="0.2">
      <c r="C61131"/>
      <c r="M61131"/>
    </row>
    <row r="61139" spans="3:13" ht="12.75" customHeight="1" x14ac:dyDescent="0.2">
      <c r="C61139"/>
      <c r="M61139"/>
    </row>
    <row r="61142" spans="3:13" ht="12.75" customHeight="1" x14ac:dyDescent="0.2">
      <c r="C61142"/>
      <c r="M61142"/>
    </row>
    <row r="61143" spans="3:13" ht="12.75" customHeight="1" x14ac:dyDescent="0.2">
      <c r="C61143"/>
      <c r="M61143"/>
    </row>
    <row r="61144" spans="3:13" ht="12.75" customHeight="1" x14ac:dyDescent="0.2">
      <c r="C61144"/>
      <c r="M61144"/>
    </row>
    <row r="61145" spans="3:13" ht="12.75" customHeight="1" x14ac:dyDescent="0.2">
      <c r="C61145"/>
      <c r="M61145"/>
    </row>
    <row r="61147" spans="3:13" ht="12.75" customHeight="1" x14ac:dyDescent="0.2">
      <c r="C61147"/>
      <c r="M61147"/>
    </row>
    <row r="61155" spans="3:13" ht="12.75" customHeight="1" x14ac:dyDescent="0.2">
      <c r="C61155"/>
      <c r="M61155"/>
    </row>
    <row r="61158" spans="3:13" ht="12.75" customHeight="1" x14ac:dyDescent="0.2">
      <c r="C61158"/>
      <c r="M61158"/>
    </row>
    <row r="61159" spans="3:13" ht="12.75" customHeight="1" x14ac:dyDescent="0.2">
      <c r="C61159"/>
      <c r="M61159"/>
    </row>
    <row r="61160" spans="3:13" ht="12.75" customHeight="1" x14ac:dyDescent="0.2">
      <c r="C61160"/>
      <c r="M61160"/>
    </row>
    <row r="61161" spans="3:13" ht="12.75" customHeight="1" x14ac:dyDescent="0.2">
      <c r="C61161"/>
      <c r="M61161"/>
    </row>
    <row r="61163" spans="3:13" ht="12.75" customHeight="1" x14ac:dyDescent="0.2">
      <c r="C61163"/>
      <c r="M61163"/>
    </row>
    <row r="61171" spans="3:13" ht="12.75" customHeight="1" x14ac:dyDescent="0.2">
      <c r="C61171"/>
      <c r="M61171"/>
    </row>
    <row r="61172" spans="3:13" ht="12.75" customHeight="1" x14ac:dyDescent="0.2">
      <c r="C61172"/>
      <c r="M61172"/>
    </row>
    <row r="61174" spans="3:13" ht="12.75" customHeight="1" x14ac:dyDescent="0.2">
      <c r="C61174"/>
      <c r="M61174"/>
    </row>
    <row r="61175" spans="3:13" ht="12.75" customHeight="1" x14ac:dyDescent="0.2">
      <c r="C61175"/>
      <c r="M61175"/>
    </row>
    <row r="61176" spans="3:13" ht="12.75" customHeight="1" x14ac:dyDescent="0.2">
      <c r="C61176"/>
      <c r="M61176"/>
    </row>
    <row r="61177" spans="3:13" ht="12.75" customHeight="1" x14ac:dyDescent="0.2">
      <c r="C61177"/>
      <c r="M61177"/>
    </row>
    <row r="61179" spans="3:13" ht="12.75" customHeight="1" x14ac:dyDescent="0.2">
      <c r="C61179"/>
      <c r="M61179"/>
    </row>
    <row r="61187" spans="3:13" ht="12.75" customHeight="1" x14ac:dyDescent="0.2">
      <c r="C61187"/>
      <c r="M61187"/>
    </row>
    <row r="61188" spans="3:13" ht="12.75" customHeight="1" x14ac:dyDescent="0.2">
      <c r="C61188"/>
      <c r="M61188"/>
    </row>
    <row r="61189" spans="3:13" ht="12.75" customHeight="1" x14ac:dyDescent="0.2">
      <c r="C61189"/>
      <c r="M61189"/>
    </row>
    <row r="61190" spans="3:13" ht="12.75" customHeight="1" x14ac:dyDescent="0.2">
      <c r="C61190"/>
      <c r="M61190"/>
    </row>
    <row r="61191" spans="3:13" ht="12.75" customHeight="1" x14ac:dyDescent="0.2">
      <c r="C61191"/>
      <c r="M61191"/>
    </row>
    <row r="61192" spans="3:13" ht="12.75" customHeight="1" x14ac:dyDescent="0.2">
      <c r="C61192"/>
      <c r="M61192"/>
    </row>
    <row r="61193" spans="3:13" ht="12.75" customHeight="1" x14ac:dyDescent="0.2">
      <c r="C61193"/>
      <c r="M61193"/>
    </row>
    <row r="61195" spans="3:13" ht="12.75" customHeight="1" x14ac:dyDescent="0.2">
      <c r="C61195"/>
      <c r="M61195"/>
    </row>
    <row r="61203" spans="3:13" ht="12.75" customHeight="1" x14ac:dyDescent="0.2">
      <c r="C61203"/>
      <c r="M61203"/>
    </row>
    <row r="61204" spans="3:13" ht="12.75" customHeight="1" x14ac:dyDescent="0.2">
      <c r="C61204"/>
      <c r="M61204"/>
    </row>
    <row r="61205" spans="3:13" ht="12.75" customHeight="1" x14ac:dyDescent="0.2">
      <c r="C61205"/>
      <c r="M61205"/>
    </row>
    <row r="61206" spans="3:13" ht="12.75" customHeight="1" x14ac:dyDescent="0.2">
      <c r="C61206"/>
      <c r="M61206"/>
    </row>
    <row r="61207" spans="3:13" ht="12.75" customHeight="1" x14ac:dyDescent="0.2">
      <c r="C61207"/>
      <c r="M61207"/>
    </row>
    <row r="61208" spans="3:13" ht="12.75" customHeight="1" x14ac:dyDescent="0.2">
      <c r="C61208"/>
      <c r="M61208"/>
    </row>
    <row r="61209" spans="3:13" ht="12.75" customHeight="1" x14ac:dyDescent="0.2">
      <c r="C61209"/>
      <c r="M61209"/>
    </row>
    <row r="61211" spans="3:13" ht="12.75" customHeight="1" x14ac:dyDescent="0.2">
      <c r="C61211"/>
      <c r="M61211"/>
    </row>
    <row r="61217" spans="3:13" ht="12.75" customHeight="1" x14ac:dyDescent="0.2">
      <c r="C61217"/>
      <c r="M61217"/>
    </row>
    <row r="61218" spans="3:13" ht="12.75" customHeight="1" x14ac:dyDescent="0.2">
      <c r="C61218"/>
      <c r="M61218"/>
    </row>
    <row r="61219" spans="3:13" ht="12.75" customHeight="1" x14ac:dyDescent="0.2">
      <c r="C61219"/>
      <c r="M61219"/>
    </row>
    <row r="61220" spans="3:13" ht="12.75" customHeight="1" x14ac:dyDescent="0.2">
      <c r="C61220"/>
      <c r="M61220"/>
    </row>
    <row r="61221" spans="3:13" ht="12.75" customHeight="1" x14ac:dyDescent="0.2">
      <c r="C61221"/>
      <c r="M61221"/>
    </row>
    <row r="61222" spans="3:13" ht="12.75" customHeight="1" x14ac:dyDescent="0.2">
      <c r="C61222"/>
      <c r="M61222"/>
    </row>
    <row r="61223" spans="3:13" ht="12.75" customHeight="1" x14ac:dyDescent="0.2">
      <c r="C61223"/>
      <c r="M61223"/>
    </row>
    <row r="61224" spans="3:13" ht="12.75" customHeight="1" x14ac:dyDescent="0.2">
      <c r="C61224"/>
      <c r="M61224"/>
    </row>
    <row r="61225" spans="3:13" ht="12.75" customHeight="1" x14ac:dyDescent="0.2">
      <c r="C61225"/>
      <c r="M61225"/>
    </row>
    <row r="61226" spans="3:13" ht="12.75" customHeight="1" x14ac:dyDescent="0.2">
      <c r="C61226"/>
      <c r="M61226"/>
    </row>
    <row r="61227" spans="3:13" ht="12.75" customHeight="1" x14ac:dyDescent="0.2">
      <c r="C61227"/>
      <c r="M61227"/>
    </row>
    <row r="61228" spans="3:13" ht="12.75" customHeight="1" x14ac:dyDescent="0.2">
      <c r="C61228"/>
      <c r="M61228"/>
    </row>
    <row r="61233" spans="3:13" ht="12.75" customHeight="1" x14ac:dyDescent="0.2">
      <c r="C61233"/>
      <c r="M61233"/>
    </row>
    <row r="61234" spans="3:13" ht="12.75" customHeight="1" x14ac:dyDescent="0.2">
      <c r="C61234"/>
      <c r="M61234"/>
    </row>
    <row r="61235" spans="3:13" ht="12.75" customHeight="1" x14ac:dyDescent="0.2">
      <c r="C61235"/>
      <c r="M61235"/>
    </row>
    <row r="61236" spans="3:13" ht="12.75" customHeight="1" x14ac:dyDescent="0.2">
      <c r="C61236"/>
      <c r="M61236"/>
    </row>
    <row r="61237" spans="3:13" ht="12.75" customHeight="1" x14ac:dyDescent="0.2">
      <c r="C61237"/>
      <c r="M61237"/>
    </row>
    <row r="61238" spans="3:13" ht="12.75" customHeight="1" x14ac:dyDescent="0.2">
      <c r="C61238"/>
      <c r="M61238"/>
    </row>
    <row r="61239" spans="3:13" ht="12.75" customHeight="1" x14ac:dyDescent="0.2">
      <c r="C61239"/>
      <c r="M61239"/>
    </row>
    <row r="61240" spans="3:13" ht="12.75" customHeight="1" x14ac:dyDescent="0.2">
      <c r="C61240"/>
      <c r="M61240"/>
    </row>
    <row r="61241" spans="3:13" ht="12.75" customHeight="1" x14ac:dyDescent="0.2">
      <c r="C61241"/>
      <c r="M61241"/>
    </row>
    <row r="61242" spans="3:13" ht="12.75" customHeight="1" x14ac:dyDescent="0.2">
      <c r="C61242"/>
      <c r="M61242"/>
    </row>
    <row r="61243" spans="3:13" ht="12.75" customHeight="1" x14ac:dyDescent="0.2">
      <c r="C61243"/>
      <c r="M61243"/>
    </row>
    <row r="61244" spans="3:13" ht="12.75" customHeight="1" x14ac:dyDescent="0.2">
      <c r="C61244"/>
      <c r="M61244"/>
    </row>
    <row r="61249" spans="3:13" ht="12.75" customHeight="1" x14ac:dyDescent="0.2">
      <c r="C61249"/>
      <c r="M61249"/>
    </row>
    <row r="61250" spans="3:13" ht="12.75" customHeight="1" x14ac:dyDescent="0.2">
      <c r="C61250"/>
      <c r="M61250"/>
    </row>
    <row r="61251" spans="3:13" ht="12.75" customHeight="1" x14ac:dyDescent="0.2">
      <c r="C61251"/>
      <c r="M61251"/>
    </row>
    <row r="61252" spans="3:13" ht="12.75" customHeight="1" x14ac:dyDescent="0.2">
      <c r="C61252"/>
      <c r="M61252"/>
    </row>
    <row r="61253" spans="3:13" ht="12.75" customHeight="1" x14ac:dyDescent="0.2">
      <c r="C61253"/>
      <c r="M61253"/>
    </row>
    <row r="61254" spans="3:13" ht="12.75" customHeight="1" x14ac:dyDescent="0.2">
      <c r="C61254"/>
      <c r="M61254"/>
    </row>
    <row r="61255" spans="3:13" ht="12.75" customHeight="1" x14ac:dyDescent="0.2">
      <c r="C61255"/>
      <c r="M61255"/>
    </row>
    <row r="61256" spans="3:13" ht="12.75" customHeight="1" x14ac:dyDescent="0.2">
      <c r="C61256"/>
      <c r="M61256"/>
    </row>
    <row r="61257" spans="3:13" ht="12.75" customHeight="1" x14ac:dyDescent="0.2">
      <c r="C61257"/>
      <c r="M61257"/>
    </row>
    <row r="61258" spans="3:13" ht="12.75" customHeight="1" x14ac:dyDescent="0.2">
      <c r="C61258"/>
      <c r="M61258"/>
    </row>
    <row r="61259" spans="3:13" ht="12.75" customHeight="1" x14ac:dyDescent="0.2">
      <c r="C61259"/>
      <c r="M61259"/>
    </row>
    <row r="61260" spans="3:13" ht="12.75" customHeight="1" x14ac:dyDescent="0.2">
      <c r="C61260"/>
      <c r="M61260"/>
    </row>
    <row r="61265" spans="3:13" ht="12.75" customHeight="1" x14ac:dyDescent="0.2">
      <c r="C61265"/>
      <c r="M61265"/>
    </row>
    <row r="61266" spans="3:13" ht="12.75" customHeight="1" x14ac:dyDescent="0.2">
      <c r="C61266"/>
      <c r="M61266"/>
    </row>
    <row r="61267" spans="3:13" ht="12.75" customHeight="1" x14ac:dyDescent="0.2">
      <c r="C61267"/>
      <c r="M61267"/>
    </row>
    <row r="61268" spans="3:13" ht="12.75" customHeight="1" x14ac:dyDescent="0.2">
      <c r="C61268"/>
      <c r="M61268"/>
    </row>
    <row r="61269" spans="3:13" ht="12.75" customHeight="1" x14ac:dyDescent="0.2">
      <c r="C61269"/>
      <c r="M61269"/>
    </row>
    <row r="61270" spans="3:13" ht="12.75" customHeight="1" x14ac:dyDescent="0.2">
      <c r="C61270"/>
      <c r="M61270"/>
    </row>
    <row r="61271" spans="3:13" ht="12.75" customHeight="1" x14ac:dyDescent="0.2">
      <c r="C61271"/>
      <c r="M61271"/>
    </row>
    <row r="61272" spans="3:13" ht="12.75" customHeight="1" x14ac:dyDescent="0.2">
      <c r="C61272"/>
      <c r="M61272"/>
    </row>
    <row r="61273" spans="3:13" ht="12.75" customHeight="1" x14ac:dyDescent="0.2">
      <c r="C61273"/>
      <c r="M61273"/>
    </row>
    <row r="61274" spans="3:13" ht="12.75" customHeight="1" x14ac:dyDescent="0.2">
      <c r="C61274"/>
      <c r="M61274"/>
    </row>
    <row r="61275" spans="3:13" ht="12.75" customHeight="1" x14ac:dyDescent="0.2">
      <c r="C61275"/>
      <c r="M61275"/>
    </row>
    <row r="61276" spans="3:13" ht="12.75" customHeight="1" x14ac:dyDescent="0.2">
      <c r="C61276"/>
      <c r="M61276"/>
    </row>
    <row r="61280" spans="3:13" ht="12.75" customHeight="1" x14ac:dyDescent="0.2">
      <c r="C61280"/>
      <c r="M61280"/>
    </row>
    <row r="61281" spans="3:13" ht="12.75" customHeight="1" x14ac:dyDescent="0.2">
      <c r="C61281"/>
      <c r="M61281"/>
    </row>
    <row r="61282" spans="3:13" ht="12.75" customHeight="1" x14ac:dyDescent="0.2">
      <c r="C61282"/>
      <c r="M61282"/>
    </row>
    <row r="61283" spans="3:13" ht="12.75" customHeight="1" x14ac:dyDescent="0.2">
      <c r="C61283"/>
      <c r="M61283"/>
    </row>
    <row r="61284" spans="3:13" ht="12.75" customHeight="1" x14ac:dyDescent="0.2">
      <c r="C61284"/>
      <c r="M61284"/>
    </row>
    <row r="61285" spans="3:13" ht="12.75" customHeight="1" x14ac:dyDescent="0.2">
      <c r="C61285"/>
      <c r="M61285"/>
    </row>
    <row r="61286" spans="3:13" ht="12.75" customHeight="1" x14ac:dyDescent="0.2">
      <c r="C61286"/>
      <c r="M61286"/>
    </row>
    <row r="61287" spans="3:13" ht="12.75" customHeight="1" x14ac:dyDescent="0.2">
      <c r="C61287"/>
      <c r="M61287"/>
    </row>
    <row r="61288" spans="3:13" ht="12.75" customHeight="1" x14ac:dyDescent="0.2">
      <c r="C61288"/>
      <c r="M61288"/>
    </row>
    <row r="61289" spans="3:13" ht="12.75" customHeight="1" x14ac:dyDescent="0.2">
      <c r="C61289"/>
      <c r="M61289"/>
    </row>
    <row r="61290" spans="3:13" ht="12.75" customHeight="1" x14ac:dyDescent="0.2">
      <c r="C61290"/>
      <c r="M61290"/>
    </row>
    <row r="61291" spans="3:13" ht="12.75" customHeight="1" x14ac:dyDescent="0.2">
      <c r="C61291"/>
      <c r="M61291"/>
    </row>
    <row r="61292" spans="3:13" ht="12.75" customHeight="1" x14ac:dyDescent="0.2">
      <c r="C61292"/>
      <c r="M61292"/>
    </row>
    <row r="61296" spans="3:13" ht="12.75" customHeight="1" x14ac:dyDescent="0.2">
      <c r="C61296"/>
      <c r="M61296"/>
    </row>
    <row r="61297" spans="3:13" ht="12.75" customHeight="1" x14ac:dyDescent="0.2">
      <c r="C61297"/>
      <c r="M61297"/>
    </row>
    <row r="61298" spans="3:13" ht="12.75" customHeight="1" x14ac:dyDescent="0.2">
      <c r="C61298"/>
      <c r="M61298"/>
    </row>
    <row r="61299" spans="3:13" ht="12.75" customHeight="1" x14ac:dyDescent="0.2">
      <c r="C61299"/>
      <c r="M61299"/>
    </row>
    <row r="61300" spans="3:13" ht="12.75" customHeight="1" x14ac:dyDescent="0.2">
      <c r="C61300"/>
      <c r="M61300"/>
    </row>
    <row r="61301" spans="3:13" ht="12.75" customHeight="1" x14ac:dyDescent="0.2">
      <c r="C61301"/>
      <c r="M61301"/>
    </row>
    <row r="61302" spans="3:13" ht="12.75" customHeight="1" x14ac:dyDescent="0.2">
      <c r="C61302"/>
      <c r="M61302"/>
    </row>
    <row r="61303" spans="3:13" ht="12.75" customHeight="1" x14ac:dyDescent="0.2">
      <c r="C61303"/>
      <c r="M61303"/>
    </row>
    <row r="61304" spans="3:13" ht="12.75" customHeight="1" x14ac:dyDescent="0.2">
      <c r="C61304"/>
      <c r="M61304"/>
    </row>
    <row r="61305" spans="3:13" ht="12.75" customHeight="1" x14ac:dyDescent="0.2">
      <c r="C61305"/>
      <c r="M61305"/>
    </row>
    <row r="61306" spans="3:13" ht="12.75" customHeight="1" x14ac:dyDescent="0.2">
      <c r="C61306"/>
      <c r="M61306"/>
    </row>
    <row r="61307" spans="3:13" ht="12.75" customHeight="1" x14ac:dyDescent="0.2">
      <c r="C61307"/>
      <c r="M61307"/>
    </row>
    <row r="61308" spans="3:13" ht="12.75" customHeight="1" x14ac:dyDescent="0.2">
      <c r="C61308"/>
      <c r="M61308"/>
    </row>
    <row r="61312" spans="3:13" ht="12.75" customHeight="1" x14ac:dyDescent="0.2">
      <c r="C61312"/>
      <c r="M61312"/>
    </row>
    <row r="61313" spans="3:13" ht="12.75" customHeight="1" x14ac:dyDescent="0.2">
      <c r="C61313"/>
      <c r="M61313"/>
    </row>
    <row r="61314" spans="3:13" ht="12.75" customHeight="1" x14ac:dyDescent="0.2">
      <c r="C61314"/>
      <c r="M61314"/>
    </row>
    <row r="61315" spans="3:13" ht="12.75" customHeight="1" x14ac:dyDescent="0.2">
      <c r="C61315"/>
      <c r="M61315"/>
    </row>
    <row r="61316" spans="3:13" ht="12.75" customHeight="1" x14ac:dyDescent="0.2">
      <c r="C61316"/>
      <c r="M61316"/>
    </row>
    <row r="61317" spans="3:13" ht="12.75" customHeight="1" x14ac:dyDescent="0.2">
      <c r="C61317"/>
      <c r="M61317"/>
    </row>
    <row r="61318" spans="3:13" ht="12.75" customHeight="1" x14ac:dyDescent="0.2">
      <c r="C61318"/>
      <c r="M61318"/>
    </row>
    <row r="61319" spans="3:13" ht="12.75" customHeight="1" x14ac:dyDescent="0.2">
      <c r="C61319"/>
      <c r="M61319"/>
    </row>
    <row r="61320" spans="3:13" ht="12.75" customHeight="1" x14ac:dyDescent="0.2">
      <c r="C61320"/>
      <c r="M61320"/>
    </row>
    <row r="61321" spans="3:13" ht="12.75" customHeight="1" x14ac:dyDescent="0.2">
      <c r="C61321"/>
      <c r="M61321"/>
    </row>
    <row r="61322" spans="3:13" ht="12.75" customHeight="1" x14ac:dyDescent="0.2">
      <c r="C61322"/>
      <c r="M61322"/>
    </row>
    <row r="61323" spans="3:13" ht="12.75" customHeight="1" x14ac:dyDescent="0.2">
      <c r="C61323"/>
      <c r="M61323"/>
    </row>
    <row r="61324" spans="3:13" ht="12.75" customHeight="1" x14ac:dyDescent="0.2">
      <c r="C61324"/>
      <c r="M61324"/>
    </row>
    <row r="61328" spans="3:13" ht="12.75" customHeight="1" x14ac:dyDescent="0.2">
      <c r="C61328"/>
      <c r="M61328"/>
    </row>
    <row r="61329" spans="3:13" ht="12.75" customHeight="1" x14ac:dyDescent="0.2">
      <c r="C61329"/>
      <c r="M61329"/>
    </row>
    <row r="61330" spans="3:13" ht="12.75" customHeight="1" x14ac:dyDescent="0.2">
      <c r="C61330"/>
      <c r="M61330"/>
    </row>
    <row r="61331" spans="3:13" ht="12.75" customHeight="1" x14ac:dyDescent="0.2">
      <c r="C61331"/>
      <c r="M61331"/>
    </row>
    <row r="61332" spans="3:13" ht="12.75" customHeight="1" x14ac:dyDescent="0.2">
      <c r="C61332"/>
      <c r="M61332"/>
    </row>
    <row r="61333" spans="3:13" ht="12.75" customHeight="1" x14ac:dyDescent="0.2">
      <c r="C61333"/>
      <c r="M61333"/>
    </row>
    <row r="61334" spans="3:13" ht="12.75" customHeight="1" x14ac:dyDescent="0.2">
      <c r="C61334"/>
      <c r="M61334"/>
    </row>
    <row r="61335" spans="3:13" ht="12.75" customHeight="1" x14ac:dyDescent="0.2">
      <c r="C61335"/>
      <c r="M61335"/>
    </row>
    <row r="61336" spans="3:13" ht="12.75" customHeight="1" x14ac:dyDescent="0.2">
      <c r="C61336"/>
      <c r="M61336"/>
    </row>
    <row r="61337" spans="3:13" ht="12.75" customHeight="1" x14ac:dyDescent="0.2">
      <c r="C61337"/>
      <c r="M61337"/>
    </row>
    <row r="61338" spans="3:13" ht="12.75" customHeight="1" x14ac:dyDescent="0.2">
      <c r="C61338"/>
      <c r="M61338"/>
    </row>
    <row r="61339" spans="3:13" ht="12.75" customHeight="1" x14ac:dyDescent="0.2">
      <c r="C61339"/>
      <c r="M61339"/>
    </row>
    <row r="61340" spans="3:13" ht="12.75" customHeight="1" x14ac:dyDescent="0.2">
      <c r="C61340"/>
      <c r="M61340"/>
    </row>
    <row r="61344" spans="3:13" ht="12.75" customHeight="1" x14ac:dyDescent="0.2">
      <c r="C61344"/>
      <c r="M61344"/>
    </row>
    <row r="61345" spans="3:13" ht="12.75" customHeight="1" x14ac:dyDescent="0.2">
      <c r="C61345"/>
      <c r="M61345"/>
    </row>
    <row r="61346" spans="3:13" ht="12.75" customHeight="1" x14ac:dyDescent="0.2">
      <c r="C61346"/>
      <c r="M61346"/>
    </row>
    <row r="61347" spans="3:13" ht="12.75" customHeight="1" x14ac:dyDescent="0.2">
      <c r="C61347"/>
      <c r="M61347"/>
    </row>
    <row r="61348" spans="3:13" ht="12.75" customHeight="1" x14ac:dyDescent="0.2">
      <c r="C61348"/>
      <c r="M61348"/>
    </row>
    <row r="61349" spans="3:13" ht="12.75" customHeight="1" x14ac:dyDescent="0.2">
      <c r="C61349"/>
      <c r="M61349"/>
    </row>
    <row r="61350" spans="3:13" ht="12.75" customHeight="1" x14ac:dyDescent="0.2">
      <c r="C61350"/>
      <c r="M61350"/>
    </row>
    <row r="61351" spans="3:13" ht="12.75" customHeight="1" x14ac:dyDescent="0.2">
      <c r="C61351"/>
      <c r="M61351"/>
    </row>
    <row r="61352" spans="3:13" ht="12.75" customHeight="1" x14ac:dyDescent="0.2">
      <c r="C61352"/>
      <c r="M61352"/>
    </row>
    <row r="61353" spans="3:13" ht="12.75" customHeight="1" x14ac:dyDescent="0.2">
      <c r="C61353"/>
      <c r="M61353"/>
    </row>
    <row r="61354" spans="3:13" ht="12.75" customHeight="1" x14ac:dyDescent="0.2">
      <c r="C61354"/>
      <c r="M61354"/>
    </row>
    <row r="61355" spans="3:13" ht="12.75" customHeight="1" x14ac:dyDescent="0.2">
      <c r="C61355"/>
      <c r="M61355"/>
    </row>
    <row r="61356" spans="3:13" ht="12.75" customHeight="1" x14ac:dyDescent="0.2">
      <c r="C61356"/>
      <c r="M61356"/>
    </row>
    <row r="61360" spans="3:13" ht="12.75" customHeight="1" x14ac:dyDescent="0.2">
      <c r="C61360"/>
      <c r="M61360"/>
    </row>
    <row r="61361" spans="3:13" ht="12.75" customHeight="1" x14ac:dyDescent="0.2">
      <c r="C61361"/>
      <c r="M61361"/>
    </row>
    <row r="61362" spans="3:13" ht="12.75" customHeight="1" x14ac:dyDescent="0.2">
      <c r="C61362"/>
      <c r="M61362"/>
    </row>
    <row r="61363" spans="3:13" ht="12.75" customHeight="1" x14ac:dyDescent="0.2">
      <c r="C61363"/>
      <c r="M61363"/>
    </row>
    <row r="61364" spans="3:13" ht="12.75" customHeight="1" x14ac:dyDescent="0.2">
      <c r="C61364"/>
      <c r="M61364"/>
    </row>
    <row r="61365" spans="3:13" ht="12.75" customHeight="1" x14ac:dyDescent="0.2">
      <c r="C61365"/>
      <c r="M61365"/>
    </row>
    <row r="61366" spans="3:13" ht="12.75" customHeight="1" x14ac:dyDescent="0.2">
      <c r="C61366"/>
      <c r="M61366"/>
    </row>
    <row r="61367" spans="3:13" ht="12.75" customHeight="1" x14ac:dyDescent="0.2">
      <c r="C61367"/>
      <c r="M61367"/>
    </row>
    <row r="61368" spans="3:13" ht="12.75" customHeight="1" x14ac:dyDescent="0.2">
      <c r="C61368"/>
      <c r="M61368"/>
    </row>
    <row r="61369" spans="3:13" ht="12.75" customHeight="1" x14ac:dyDescent="0.2">
      <c r="C61369"/>
      <c r="M61369"/>
    </row>
    <row r="61370" spans="3:13" ht="12.75" customHeight="1" x14ac:dyDescent="0.2">
      <c r="C61370"/>
      <c r="M61370"/>
    </row>
    <row r="61371" spans="3:13" ht="12.75" customHeight="1" x14ac:dyDescent="0.2">
      <c r="C61371"/>
      <c r="M61371"/>
    </row>
    <row r="61372" spans="3:13" ht="12.75" customHeight="1" x14ac:dyDescent="0.2">
      <c r="C61372"/>
      <c r="M61372"/>
    </row>
    <row r="61376" spans="3:13" ht="12.75" customHeight="1" x14ac:dyDescent="0.2">
      <c r="C61376"/>
      <c r="M61376"/>
    </row>
    <row r="61377" spans="3:13" ht="12.75" customHeight="1" x14ac:dyDescent="0.2">
      <c r="C61377"/>
      <c r="M61377"/>
    </row>
    <row r="61378" spans="3:13" ht="12.75" customHeight="1" x14ac:dyDescent="0.2">
      <c r="C61378"/>
      <c r="M61378"/>
    </row>
    <row r="61379" spans="3:13" ht="12.75" customHeight="1" x14ac:dyDescent="0.2">
      <c r="C61379"/>
      <c r="M61379"/>
    </row>
    <row r="61380" spans="3:13" ht="12.75" customHeight="1" x14ac:dyDescent="0.2">
      <c r="C61380"/>
      <c r="M61380"/>
    </row>
    <row r="61381" spans="3:13" ht="12.75" customHeight="1" x14ac:dyDescent="0.2">
      <c r="C61381"/>
      <c r="M61381"/>
    </row>
    <row r="61382" spans="3:13" ht="12.75" customHeight="1" x14ac:dyDescent="0.2">
      <c r="C61382"/>
      <c r="M61382"/>
    </row>
    <row r="61383" spans="3:13" ht="12.75" customHeight="1" x14ac:dyDescent="0.2">
      <c r="C61383"/>
      <c r="M61383"/>
    </row>
    <row r="61384" spans="3:13" ht="12.75" customHeight="1" x14ac:dyDescent="0.2">
      <c r="C61384"/>
      <c r="M61384"/>
    </row>
    <row r="61385" spans="3:13" ht="12.75" customHeight="1" x14ac:dyDescent="0.2">
      <c r="C61385"/>
      <c r="M61385"/>
    </row>
    <row r="61386" spans="3:13" ht="12.75" customHeight="1" x14ac:dyDescent="0.2">
      <c r="C61386"/>
      <c r="M61386"/>
    </row>
    <row r="61387" spans="3:13" ht="12.75" customHeight="1" x14ac:dyDescent="0.2">
      <c r="C61387"/>
      <c r="M61387"/>
    </row>
    <row r="61388" spans="3:13" ht="12.75" customHeight="1" x14ac:dyDescent="0.2">
      <c r="C61388"/>
      <c r="M61388"/>
    </row>
    <row r="61392" spans="3:13" ht="12.75" customHeight="1" x14ac:dyDescent="0.2">
      <c r="C61392"/>
      <c r="M61392"/>
    </row>
    <row r="61393" spans="3:13" ht="12.75" customHeight="1" x14ac:dyDescent="0.2">
      <c r="C61393"/>
      <c r="M61393"/>
    </row>
    <row r="61394" spans="3:13" ht="12.75" customHeight="1" x14ac:dyDescent="0.2">
      <c r="C61394"/>
      <c r="M61394"/>
    </row>
    <row r="61395" spans="3:13" ht="12.75" customHeight="1" x14ac:dyDescent="0.2">
      <c r="C61395"/>
      <c r="M61395"/>
    </row>
    <row r="61396" spans="3:13" ht="12.75" customHeight="1" x14ac:dyDescent="0.2">
      <c r="C61396"/>
      <c r="M61396"/>
    </row>
    <row r="61397" spans="3:13" ht="12.75" customHeight="1" x14ac:dyDescent="0.2">
      <c r="C61397"/>
      <c r="M61397"/>
    </row>
    <row r="61398" spans="3:13" ht="12.75" customHeight="1" x14ac:dyDescent="0.2">
      <c r="C61398"/>
      <c r="M61398"/>
    </row>
    <row r="61399" spans="3:13" ht="12.75" customHeight="1" x14ac:dyDescent="0.2">
      <c r="C61399"/>
      <c r="M61399"/>
    </row>
    <row r="61400" spans="3:13" ht="12.75" customHeight="1" x14ac:dyDescent="0.2">
      <c r="C61400"/>
      <c r="M61400"/>
    </row>
    <row r="61401" spans="3:13" ht="12.75" customHeight="1" x14ac:dyDescent="0.2">
      <c r="C61401"/>
      <c r="M61401"/>
    </row>
    <row r="61402" spans="3:13" ht="12.75" customHeight="1" x14ac:dyDescent="0.2">
      <c r="C61402"/>
      <c r="M61402"/>
    </row>
    <row r="61403" spans="3:13" ht="12.75" customHeight="1" x14ac:dyDescent="0.2">
      <c r="C61403"/>
      <c r="M61403"/>
    </row>
    <row r="61404" spans="3:13" ht="12.75" customHeight="1" x14ac:dyDescent="0.2">
      <c r="C61404"/>
      <c r="M61404"/>
    </row>
    <row r="61405" spans="3:13" ht="12.75" customHeight="1" x14ac:dyDescent="0.2">
      <c r="C61405"/>
      <c r="M61405"/>
    </row>
    <row r="61408" spans="3:13" ht="12.75" customHeight="1" x14ac:dyDescent="0.2">
      <c r="C61408"/>
      <c r="M61408"/>
    </row>
    <row r="61409" spans="3:13" ht="12.75" customHeight="1" x14ac:dyDescent="0.2">
      <c r="C61409"/>
      <c r="M61409"/>
    </row>
    <row r="61410" spans="3:13" ht="12.75" customHeight="1" x14ac:dyDescent="0.2">
      <c r="C61410"/>
      <c r="M61410"/>
    </row>
    <row r="61411" spans="3:13" ht="12.75" customHeight="1" x14ac:dyDescent="0.2">
      <c r="C61411"/>
      <c r="M61411"/>
    </row>
    <row r="61412" spans="3:13" ht="12.75" customHeight="1" x14ac:dyDescent="0.2">
      <c r="C61412"/>
      <c r="M61412"/>
    </row>
    <row r="61413" spans="3:13" ht="12.75" customHeight="1" x14ac:dyDescent="0.2">
      <c r="C61413"/>
      <c r="M61413"/>
    </row>
    <row r="61414" spans="3:13" ht="12.75" customHeight="1" x14ac:dyDescent="0.2">
      <c r="C61414"/>
      <c r="M61414"/>
    </row>
    <row r="61415" spans="3:13" ht="12.75" customHeight="1" x14ac:dyDescent="0.2">
      <c r="C61415"/>
      <c r="M61415"/>
    </row>
    <row r="61416" spans="3:13" ht="12.75" customHeight="1" x14ac:dyDescent="0.2">
      <c r="C61416"/>
      <c r="M61416"/>
    </row>
    <row r="61417" spans="3:13" ht="12.75" customHeight="1" x14ac:dyDescent="0.2">
      <c r="C61417"/>
      <c r="M61417"/>
    </row>
    <row r="61418" spans="3:13" ht="12.75" customHeight="1" x14ac:dyDescent="0.2">
      <c r="C61418"/>
      <c r="M61418"/>
    </row>
    <row r="61419" spans="3:13" ht="12.75" customHeight="1" x14ac:dyDescent="0.2">
      <c r="C61419"/>
      <c r="M61419"/>
    </row>
    <row r="61420" spans="3:13" ht="12.75" customHeight="1" x14ac:dyDescent="0.2">
      <c r="C61420"/>
      <c r="M61420"/>
    </row>
    <row r="61421" spans="3:13" ht="12.75" customHeight="1" x14ac:dyDescent="0.2">
      <c r="C61421"/>
      <c r="M61421"/>
    </row>
    <row r="61424" spans="3:13" ht="12.75" customHeight="1" x14ac:dyDescent="0.2">
      <c r="C61424"/>
      <c r="M61424"/>
    </row>
    <row r="61425" spans="3:13" ht="12.75" customHeight="1" x14ac:dyDescent="0.2">
      <c r="C61425"/>
      <c r="M61425"/>
    </row>
    <row r="61426" spans="3:13" ht="12.75" customHeight="1" x14ac:dyDescent="0.2">
      <c r="C61426"/>
      <c r="M61426"/>
    </row>
    <row r="61427" spans="3:13" ht="12.75" customHeight="1" x14ac:dyDescent="0.2">
      <c r="C61427"/>
      <c r="M61427"/>
    </row>
    <row r="61428" spans="3:13" ht="12.75" customHeight="1" x14ac:dyDescent="0.2">
      <c r="C61428"/>
      <c r="M61428"/>
    </row>
    <row r="61429" spans="3:13" ht="12.75" customHeight="1" x14ac:dyDescent="0.2">
      <c r="C61429"/>
      <c r="M61429"/>
    </row>
    <row r="61430" spans="3:13" ht="12.75" customHeight="1" x14ac:dyDescent="0.2">
      <c r="C61430"/>
      <c r="M61430"/>
    </row>
    <row r="61431" spans="3:13" ht="12.75" customHeight="1" x14ac:dyDescent="0.2">
      <c r="C61431"/>
      <c r="M61431"/>
    </row>
    <row r="61432" spans="3:13" ht="12.75" customHeight="1" x14ac:dyDescent="0.2">
      <c r="C61432"/>
      <c r="M61432"/>
    </row>
    <row r="61433" spans="3:13" ht="12.75" customHeight="1" x14ac:dyDescent="0.2">
      <c r="C61433"/>
      <c r="M61433"/>
    </row>
    <row r="61434" spans="3:13" ht="12.75" customHeight="1" x14ac:dyDescent="0.2">
      <c r="C61434"/>
      <c r="M61434"/>
    </row>
    <row r="61435" spans="3:13" ht="12.75" customHeight="1" x14ac:dyDescent="0.2">
      <c r="C61435"/>
      <c r="M61435"/>
    </row>
    <row r="61436" spans="3:13" ht="12.75" customHeight="1" x14ac:dyDescent="0.2">
      <c r="C61436"/>
      <c r="M61436"/>
    </row>
    <row r="61437" spans="3:13" ht="12.75" customHeight="1" x14ac:dyDescent="0.2">
      <c r="C61437"/>
      <c r="M61437"/>
    </row>
    <row r="61438" spans="3:13" ht="12.75" customHeight="1" x14ac:dyDescent="0.2">
      <c r="C61438"/>
      <c r="M61438"/>
    </row>
    <row r="61440" spans="3:13" ht="12.75" customHeight="1" x14ac:dyDescent="0.2">
      <c r="C61440"/>
      <c r="M61440"/>
    </row>
    <row r="61441" spans="3:13" ht="12.75" customHeight="1" x14ac:dyDescent="0.2">
      <c r="C61441"/>
      <c r="M61441"/>
    </row>
    <row r="61442" spans="3:13" ht="12.75" customHeight="1" x14ac:dyDescent="0.2">
      <c r="C61442"/>
      <c r="M61442"/>
    </row>
    <row r="61443" spans="3:13" ht="12.75" customHeight="1" x14ac:dyDescent="0.2">
      <c r="C61443"/>
      <c r="M61443"/>
    </row>
    <row r="61444" spans="3:13" ht="12.75" customHeight="1" x14ac:dyDescent="0.2">
      <c r="C61444"/>
      <c r="M61444"/>
    </row>
    <row r="61445" spans="3:13" ht="12.75" customHeight="1" x14ac:dyDescent="0.2">
      <c r="C61445"/>
      <c r="M61445"/>
    </row>
    <row r="61446" spans="3:13" ht="12.75" customHeight="1" x14ac:dyDescent="0.2">
      <c r="C61446"/>
      <c r="M61446"/>
    </row>
    <row r="61447" spans="3:13" ht="12.75" customHeight="1" x14ac:dyDescent="0.2">
      <c r="C61447"/>
      <c r="M61447"/>
    </row>
    <row r="61448" spans="3:13" ht="12.75" customHeight="1" x14ac:dyDescent="0.2">
      <c r="C61448"/>
      <c r="M61448"/>
    </row>
    <row r="61449" spans="3:13" ht="12.75" customHeight="1" x14ac:dyDescent="0.2">
      <c r="C61449"/>
      <c r="M61449"/>
    </row>
    <row r="61450" spans="3:13" ht="12.75" customHeight="1" x14ac:dyDescent="0.2">
      <c r="C61450"/>
      <c r="M61450"/>
    </row>
    <row r="61451" spans="3:13" ht="12.75" customHeight="1" x14ac:dyDescent="0.2">
      <c r="C61451"/>
      <c r="M61451"/>
    </row>
    <row r="61452" spans="3:13" ht="12.75" customHeight="1" x14ac:dyDescent="0.2">
      <c r="C61452"/>
      <c r="M61452"/>
    </row>
    <row r="61453" spans="3:13" ht="12.75" customHeight="1" x14ac:dyDescent="0.2">
      <c r="C61453"/>
      <c r="M61453"/>
    </row>
    <row r="61454" spans="3:13" ht="12.75" customHeight="1" x14ac:dyDescent="0.2">
      <c r="C61454"/>
      <c r="M61454"/>
    </row>
    <row r="61455" spans="3:13" ht="12.75" customHeight="1" x14ac:dyDescent="0.2">
      <c r="C61455"/>
      <c r="M61455"/>
    </row>
    <row r="61456" spans="3:13" ht="12.75" customHeight="1" x14ac:dyDescent="0.2">
      <c r="C61456"/>
      <c r="M61456"/>
    </row>
    <row r="61457" spans="3:13" ht="12.75" customHeight="1" x14ac:dyDescent="0.2">
      <c r="C61457"/>
      <c r="M61457"/>
    </row>
    <row r="61458" spans="3:13" ht="12.75" customHeight="1" x14ac:dyDescent="0.2">
      <c r="C61458"/>
      <c r="M61458"/>
    </row>
    <row r="61459" spans="3:13" ht="12.75" customHeight="1" x14ac:dyDescent="0.2">
      <c r="C61459"/>
      <c r="M61459"/>
    </row>
    <row r="61460" spans="3:13" ht="12.75" customHeight="1" x14ac:dyDescent="0.2">
      <c r="C61460"/>
      <c r="M61460"/>
    </row>
    <row r="61461" spans="3:13" ht="12.75" customHeight="1" x14ac:dyDescent="0.2">
      <c r="C61461"/>
      <c r="M61461"/>
    </row>
    <row r="61462" spans="3:13" ht="12.75" customHeight="1" x14ac:dyDescent="0.2">
      <c r="C61462"/>
      <c r="M61462"/>
    </row>
    <row r="61463" spans="3:13" ht="12.75" customHeight="1" x14ac:dyDescent="0.2">
      <c r="C61463"/>
      <c r="M61463"/>
    </row>
    <row r="61464" spans="3:13" ht="12.75" customHeight="1" x14ac:dyDescent="0.2">
      <c r="C61464"/>
      <c r="M61464"/>
    </row>
    <row r="61465" spans="3:13" ht="12.75" customHeight="1" x14ac:dyDescent="0.2">
      <c r="C61465"/>
      <c r="M61465"/>
    </row>
    <row r="61466" spans="3:13" ht="12.75" customHeight="1" x14ac:dyDescent="0.2">
      <c r="C61466"/>
      <c r="M61466"/>
    </row>
    <row r="61467" spans="3:13" ht="12.75" customHeight="1" x14ac:dyDescent="0.2">
      <c r="C61467"/>
      <c r="M61467"/>
    </row>
    <row r="61468" spans="3:13" ht="12.75" customHeight="1" x14ac:dyDescent="0.2">
      <c r="C61468"/>
      <c r="M61468"/>
    </row>
    <row r="61469" spans="3:13" ht="12.75" customHeight="1" x14ac:dyDescent="0.2">
      <c r="C61469"/>
      <c r="M61469"/>
    </row>
    <row r="61470" spans="3:13" ht="12.75" customHeight="1" x14ac:dyDescent="0.2">
      <c r="C61470"/>
      <c r="M61470"/>
    </row>
    <row r="61471" spans="3:13" ht="12.75" customHeight="1" x14ac:dyDescent="0.2">
      <c r="C61471"/>
      <c r="M61471"/>
    </row>
    <row r="61472" spans="3:13" ht="12.75" customHeight="1" x14ac:dyDescent="0.2">
      <c r="C61472"/>
      <c r="M61472"/>
    </row>
    <row r="61473" spans="3:13" ht="12.75" customHeight="1" x14ac:dyDescent="0.2">
      <c r="C61473"/>
      <c r="M61473"/>
    </row>
    <row r="61474" spans="3:13" ht="12.75" customHeight="1" x14ac:dyDescent="0.2">
      <c r="C61474"/>
      <c r="M61474"/>
    </row>
    <row r="61475" spans="3:13" ht="12.75" customHeight="1" x14ac:dyDescent="0.2">
      <c r="C61475"/>
      <c r="M61475"/>
    </row>
    <row r="61476" spans="3:13" ht="12.75" customHeight="1" x14ac:dyDescent="0.2">
      <c r="C61476"/>
      <c r="M61476"/>
    </row>
    <row r="61477" spans="3:13" ht="12.75" customHeight="1" x14ac:dyDescent="0.2">
      <c r="C61477"/>
      <c r="M61477"/>
    </row>
    <row r="61478" spans="3:13" ht="12.75" customHeight="1" x14ac:dyDescent="0.2">
      <c r="C61478"/>
      <c r="M61478"/>
    </row>
    <row r="61479" spans="3:13" ht="12.75" customHeight="1" x14ac:dyDescent="0.2">
      <c r="C61479"/>
      <c r="M61479"/>
    </row>
    <row r="61480" spans="3:13" ht="12.75" customHeight="1" x14ac:dyDescent="0.2">
      <c r="C61480"/>
      <c r="M61480"/>
    </row>
    <row r="61481" spans="3:13" ht="12.75" customHeight="1" x14ac:dyDescent="0.2">
      <c r="C61481"/>
      <c r="M61481"/>
    </row>
    <row r="61482" spans="3:13" ht="12.75" customHeight="1" x14ac:dyDescent="0.2">
      <c r="C61482"/>
      <c r="M61482"/>
    </row>
    <row r="61483" spans="3:13" ht="12.75" customHeight="1" x14ac:dyDescent="0.2">
      <c r="C61483"/>
      <c r="M61483"/>
    </row>
    <row r="61484" spans="3:13" ht="12.75" customHeight="1" x14ac:dyDescent="0.2">
      <c r="C61484"/>
      <c r="M61484"/>
    </row>
    <row r="61485" spans="3:13" ht="12.75" customHeight="1" x14ac:dyDescent="0.2">
      <c r="C61485"/>
      <c r="M61485"/>
    </row>
    <row r="61486" spans="3:13" ht="12.75" customHeight="1" x14ac:dyDescent="0.2">
      <c r="C61486"/>
      <c r="M61486"/>
    </row>
    <row r="61487" spans="3:13" ht="12.75" customHeight="1" x14ac:dyDescent="0.2">
      <c r="C61487"/>
      <c r="M61487"/>
    </row>
    <row r="61488" spans="3:13" ht="12.75" customHeight="1" x14ac:dyDescent="0.2">
      <c r="C61488"/>
      <c r="M61488"/>
    </row>
    <row r="61489" spans="3:13" ht="12.75" customHeight="1" x14ac:dyDescent="0.2">
      <c r="C61489"/>
      <c r="M61489"/>
    </row>
    <row r="61490" spans="3:13" ht="12.75" customHeight="1" x14ac:dyDescent="0.2">
      <c r="C61490"/>
      <c r="M61490"/>
    </row>
    <row r="61491" spans="3:13" ht="12.75" customHeight="1" x14ac:dyDescent="0.2">
      <c r="C61491"/>
      <c r="M61491"/>
    </row>
    <row r="61492" spans="3:13" ht="12.75" customHeight="1" x14ac:dyDescent="0.2">
      <c r="C61492"/>
      <c r="M61492"/>
    </row>
    <row r="61493" spans="3:13" ht="12.75" customHeight="1" x14ac:dyDescent="0.2">
      <c r="C61493"/>
      <c r="M61493"/>
    </row>
    <row r="61494" spans="3:13" ht="12.75" customHeight="1" x14ac:dyDescent="0.2">
      <c r="C61494"/>
      <c r="M61494"/>
    </row>
    <row r="61495" spans="3:13" ht="12.75" customHeight="1" x14ac:dyDescent="0.2">
      <c r="C61495"/>
      <c r="M61495"/>
    </row>
    <row r="61496" spans="3:13" ht="12.75" customHeight="1" x14ac:dyDescent="0.2">
      <c r="C61496"/>
      <c r="M61496"/>
    </row>
    <row r="61497" spans="3:13" ht="12.75" customHeight="1" x14ac:dyDescent="0.2">
      <c r="C61497"/>
      <c r="M61497"/>
    </row>
    <row r="61498" spans="3:13" ht="12.75" customHeight="1" x14ac:dyDescent="0.2">
      <c r="C61498"/>
      <c r="M61498"/>
    </row>
    <row r="61499" spans="3:13" ht="12.75" customHeight="1" x14ac:dyDescent="0.2">
      <c r="C61499"/>
      <c r="M61499"/>
    </row>
    <row r="61500" spans="3:13" ht="12.75" customHeight="1" x14ac:dyDescent="0.2">
      <c r="C61500"/>
      <c r="M61500"/>
    </row>
    <row r="61501" spans="3:13" ht="12.75" customHeight="1" x14ac:dyDescent="0.2">
      <c r="C61501"/>
      <c r="M61501"/>
    </row>
    <row r="61502" spans="3:13" ht="12.75" customHeight="1" x14ac:dyDescent="0.2">
      <c r="C61502"/>
      <c r="M61502"/>
    </row>
    <row r="61503" spans="3:13" ht="12.75" customHeight="1" x14ac:dyDescent="0.2">
      <c r="C61503"/>
      <c r="M61503"/>
    </row>
    <row r="61504" spans="3:13" ht="12.75" customHeight="1" x14ac:dyDescent="0.2">
      <c r="C61504"/>
      <c r="M61504"/>
    </row>
    <row r="61505" spans="3:13" ht="12.75" customHeight="1" x14ac:dyDescent="0.2">
      <c r="C61505"/>
      <c r="M61505"/>
    </row>
    <row r="61506" spans="3:13" ht="12.75" customHeight="1" x14ac:dyDescent="0.2">
      <c r="C61506"/>
      <c r="M61506"/>
    </row>
    <row r="61507" spans="3:13" ht="12.75" customHeight="1" x14ac:dyDescent="0.2">
      <c r="C61507"/>
      <c r="M61507"/>
    </row>
    <row r="61508" spans="3:13" ht="12.75" customHeight="1" x14ac:dyDescent="0.2">
      <c r="C61508"/>
      <c r="M61508"/>
    </row>
    <row r="61509" spans="3:13" ht="12.75" customHeight="1" x14ac:dyDescent="0.2">
      <c r="C61509"/>
      <c r="M61509"/>
    </row>
    <row r="61510" spans="3:13" ht="12.75" customHeight="1" x14ac:dyDescent="0.2">
      <c r="C61510"/>
      <c r="M61510"/>
    </row>
    <row r="61511" spans="3:13" ht="12.75" customHeight="1" x14ac:dyDescent="0.2">
      <c r="C61511"/>
      <c r="M61511"/>
    </row>
    <row r="61512" spans="3:13" ht="12.75" customHeight="1" x14ac:dyDescent="0.2">
      <c r="C61512"/>
      <c r="M61512"/>
    </row>
    <row r="61513" spans="3:13" ht="12.75" customHeight="1" x14ac:dyDescent="0.2">
      <c r="C61513"/>
      <c r="M61513"/>
    </row>
    <row r="61514" spans="3:13" ht="12.75" customHeight="1" x14ac:dyDescent="0.2">
      <c r="C61514"/>
      <c r="M61514"/>
    </row>
    <row r="61515" spans="3:13" ht="12.75" customHeight="1" x14ac:dyDescent="0.2">
      <c r="C61515"/>
      <c r="M61515"/>
    </row>
    <row r="61516" spans="3:13" ht="12.75" customHeight="1" x14ac:dyDescent="0.2">
      <c r="C61516"/>
      <c r="M61516"/>
    </row>
    <row r="61517" spans="3:13" ht="12.75" customHeight="1" x14ac:dyDescent="0.2">
      <c r="C61517"/>
      <c r="M61517"/>
    </row>
    <row r="61518" spans="3:13" ht="12.75" customHeight="1" x14ac:dyDescent="0.2">
      <c r="C61518"/>
      <c r="M61518"/>
    </row>
    <row r="61519" spans="3:13" ht="12.75" customHeight="1" x14ac:dyDescent="0.2">
      <c r="C61519"/>
      <c r="M61519"/>
    </row>
    <row r="61520" spans="3:13" ht="12.75" customHeight="1" x14ac:dyDescent="0.2">
      <c r="C61520"/>
      <c r="M61520"/>
    </row>
    <row r="61521" spans="3:13" ht="12.75" customHeight="1" x14ac:dyDescent="0.2">
      <c r="C61521"/>
      <c r="M61521"/>
    </row>
    <row r="61522" spans="3:13" ht="12.75" customHeight="1" x14ac:dyDescent="0.2">
      <c r="C61522"/>
      <c r="M61522"/>
    </row>
    <row r="61523" spans="3:13" ht="12.75" customHeight="1" x14ac:dyDescent="0.2">
      <c r="C61523"/>
      <c r="M61523"/>
    </row>
    <row r="61524" spans="3:13" ht="12.75" customHeight="1" x14ac:dyDescent="0.2">
      <c r="C61524"/>
      <c r="M61524"/>
    </row>
    <row r="61525" spans="3:13" ht="12.75" customHeight="1" x14ac:dyDescent="0.2">
      <c r="C61525"/>
      <c r="M61525"/>
    </row>
    <row r="61526" spans="3:13" ht="12.75" customHeight="1" x14ac:dyDescent="0.2">
      <c r="C61526"/>
      <c r="M61526"/>
    </row>
    <row r="61527" spans="3:13" ht="12.75" customHeight="1" x14ac:dyDescent="0.2">
      <c r="C61527"/>
      <c r="M61527"/>
    </row>
    <row r="61528" spans="3:13" ht="12.75" customHeight="1" x14ac:dyDescent="0.2">
      <c r="C61528"/>
      <c r="M61528"/>
    </row>
    <row r="61529" spans="3:13" ht="12.75" customHeight="1" x14ac:dyDescent="0.2">
      <c r="C61529"/>
      <c r="M61529"/>
    </row>
    <row r="61530" spans="3:13" ht="12.75" customHeight="1" x14ac:dyDescent="0.2">
      <c r="C61530"/>
      <c r="M61530"/>
    </row>
    <row r="61531" spans="3:13" ht="12.75" customHeight="1" x14ac:dyDescent="0.2">
      <c r="C61531"/>
      <c r="M61531"/>
    </row>
    <row r="61532" spans="3:13" ht="12.75" customHeight="1" x14ac:dyDescent="0.2">
      <c r="C61532"/>
      <c r="M61532"/>
    </row>
    <row r="61533" spans="3:13" ht="12.75" customHeight="1" x14ac:dyDescent="0.2">
      <c r="C61533"/>
      <c r="M61533"/>
    </row>
    <row r="61534" spans="3:13" ht="12.75" customHeight="1" x14ac:dyDescent="0.2">
      <c r="C61534"/>
      <c r="M61534"/>
    </row>
    <row r="61535" spans="3:13" ht="12.75" customHeight="1" x14ac:dyDescent="0.2">
      <c r="C61535"/>
      <c r="M61535"/>
    </row>
    <row r="61536" spans="3:13" ht="12.75" customHeight="1" x14ac:dyDescent="0.2">
      <c r="C61536"/>
      <c r="M61536"/>
    </row>
    <row r="61537" spans="3:13" ht="12.75" customHeight="1" x14ac:dyDescent="0.2">
      <c r="C61537"/>
      <c r="M61537"/>
    </row>
    <row r="61538" spans="3:13" ht="12.75" customHeight="1" x14ac:dyDescent="0.2">
      <c r="C61538"/>
      <c r="M61538"/>
    </row>
    <row r="61539" spans="3:13" ht="12.75" customHeight="1" x14ac:dyDescent="0.2">
      <c r="C61539"/>
      <c r="M61539"/>
    </row>
    <row r="61540" spans="3:13" ht="12.75" customHeight="1" x14ac:dyDescent="0.2">
      <c r="C61540"/>
      <c r="M61540"/>
    </row>
    <row r="61541" spans="3:13" ht="12.75" customHeight="1" x14ac:dyDescent="0.2">
      <c r="C61541"/>
      <c r="M61541"/>
    </row>
    <row r="61542" spans="3:13" ht="12.75" customHeight="1" x14ac:dyDescent="0.2">
      <c r="C61542"/>
      <c r="M61542"/>
    </row>
    <row r="61543" spans="3:13" ht="12.75" customHeight="1" x14ac:dyDescent="0.2">
      <c r="C61543"/>
      <c r="M61543"/>
    </row>
    <row r="61544" spans="3:13" ht="12.75" customHeight="1" x14ac:dyDescent="0.2">
      <c r="C61544"/>
      <c r="M61544"/>
    </row>
    <row r="61545" spans="3:13" ht="12.75" customHeight="1" x14ac:dyDescent="0.2">
      <c r="C61545"/>
      <c r="M61545"/>
    </row>
    <row r="61546" spans="3:13" ht="12.75" customHeight="1" x14ac:dyDescent="0.2">
      <c r="C61546"/>
      <c r="M61546"/>
    </row>
    <row r="61547" spans="3:13" ht="12.75" customHeight="1" x14ac:dyDescent="0.2">
      <c r="C61547"/>
      <c r="M61547"/>
    </row>
    <row r="61548" spans="3:13" ht="12.75" customHeight="1" x14ac:dyDescent="0.2">
      <c r="C61548"/>
      <c r="M61548"/>
    </row>
    <row r="61549" spans="3:13" ht="12.75" customHeight="1" x14ac:dyDescent="0.2">
      <c r="C61549"/>
      <c r="M61549"/>
    </row>
    <row r="61550" spans="3:13" ht="12.75" customHeight="1" x14ac:dyDescent="0.2">
      <c r="C61550"/>
      <c r="M61550"/>
    </row>
    <row r="61551" spans="3:13" ht="12.75" customHeight="1" x14ac:dyDescent="0.2">
      <c r="C61551"/>
      <c r="M61551"/>
    </row>
    <row r="61552" spans="3:13" ht="12.75" customHeight="1" x14ac:dyDescent="0.2">
      <c r="C61552"/>
      <c r="M61552"/>
    </row>
    <row r="61553" spans="3:13" ht="12.75" customHeight="1" x14ac:dyDescent="0.2">
      <c r="C61553"/>
      <c r="M61553"/>
    </row>
    <row r="61554" spans="3:13" ht="12.75" customHeight="1" x14ac:dyDescent="0.2">
      <c r="C61554"/>
      <c r="M61554"/>
    </row>
    <row r="61555" spans="3:13" ht="12.75" customHeight="1" x14ac:dyDescent="0.2">
      <c r="C61555"/>
      <c r="M61555"/>
    </row>
    <row r="61556" spans="3:13" ht="12.75" customHeight="1" x14ac:dyDescent="0.2">
      <c r="C61556"/>
      <c r="M61556"/>
    </row>
    <row r="61557" spans="3:13" ht="12.75" customHeight="1" x14ac:dyDescent="0.2">
      <c r="C61557"/>
      <c r="M61557"/>
    </row>
    <row r="61558" spans="3:13" ht="12.75" customHeight="1" x14ac:dyDescent="0.2">
      <c r="C61558"/>
      <c r="M61558"/>
    </row>
    <row r="61559" spans="3:13" ht="12.75" customHeight="1" x14ac:dyDescent="0.2">
      <c r="C61559"/>
      <c r="M61559"/>
    </row>
    <row r="61560" spans="3:13" ht="12.75" customHeight="1" x14ac:dyDescent="0.2">
      <c r="C61560"/>
      <c r="M61560"/>
    </row>
    <row r="61561" spans="3:13" ht="12.75" customHeight="1" x14ac:dyDescent="0.2">
      <c r="C61561"/>
      <c r="M61561"/>
    </row>
    <row r="61562" spans="3:13" ht="12.75" customHeight="1" x14ac:dyDescent="0.2">
      <c r="C61562"/>
      <c r="M61562"/>
    </row>
    <row r="61563" spans="3:13" ht="12.75" customHeight="1" x14ac:dyDescent="0.2">
      <c r="C61563"/>
      <c r="M61563"/>
    </row>
    <row r="61564" spans="3:13" ht="12.75" customHeight="1" x14ac:dyDescent="0.2">
      <c r="C61564"/>
      <c r="M61564"/>
    </row>
    <row r="61565" spans="3:13" ht="12.75" customHeight="1" x14ac:dyDescent="0.2">
      <c r="C61565"/>
      <c r="M61565"/>
    </row>
    <row r="61566" spans="3:13" ht="12.75" customHeight="1" x14ac:dyDescent="0.2">
      <c r="C61566"/>
      <c r="M61566"/>
    </row>
    <row r="61567" spans="3:13" ht="12.75" customHeight="1" x14ac:dyDescent="0.2">
      <c r="C61567"/>
      <c r="M61567"/>
    </row>
    <row r="61568" spans="3:13" ht="12.75" customHeight="1" x14ac:dyDescent="0.2">
      <c r="C61568"/>
      <c r="M61568"/>
    </row>
    <row r="61569" spans="3:13" ht="12.75" customHeight="1" x14ac:dyDescent="0.2">
      <c r="C61569"/>
      <c r="M61569"/>
    </row>
    <row r="61570" spans="3:13" ht="12.75" customHeight="1" x14ac:dyDescent="0.2">
      <c r="C61570"/>
      <c r="M61570"/>
    </row>
    <row r="61571" spans="3:13" ht="12.75" customHeight="1" x14ac:dyDescent="0.2">
      <c r="C61571"/>
      <c r="M61571"/>
    </row>
    <row r="61572" spans="3:13" ht="12.75" customHeight="1" x14ac:dyDescent="0.2">
      <c r="C61572"/>
      <c r="M61572"/>
    </row>
    <row r="61573" spans="3:13" ht="12.75" customHeight="1" x14ac:dyDescent="0.2">
      <c r="C61573"/>
      <c r="M61573"/>
    </row>
    <row r="61574" spans="3:13" ht="12.75" customHeight="1" x14ac:dyDescent="0.2">
      <c r="C61574"/>
      <c r="M61574"/>
    </row>
    <row r="61575" spans="3:13" ht="12.75" customHeight="1" x14ac:dyDescent="0.2">
      <c r="C61575"/>
      <c r="M61575"/>
    </row>
    <row r="61576" spans="3:13" ht="12.75" customHeight="1" x14ac:dyDescent="0.2">
      <c r="C61576"/>
      <c r="M61576"/>
    </row>
    <row r="61577" spans="3:13" ht="12.75" customHeight="1" x14ac:dyDescent="0.2">
      <c r="C61577"/>
      <c r="M61577"/>
    </row>
    <row r="61578" spans="3:13" ht="12.75" customHeight="1" x14ac:dyDescent="0.2">
      <c r="C61578"/>
      <c r="M61578"/>
    </row>
    <row r="61579" spans="3:13" ht="12.75" customHeight="1" x14ac:dyDescent="0.2">
      <c r="C61579"/>
      <c r="M61579"/>
    </row>
    <row r="61580" spans="3:13" ht="12.75" customHeight="1" x14ac:dyDescent="0.2">
      <c r="C61580"/>
      <c r="M61580"/>
    </row>
    <row r="61581" spans="3:13" ht="12.75" customHeight="1" x14ac:dyDescent="0.2">
      <c r="C61581"/>
      <c r="M61581"/>
    </row>
    <row r="61582" spans="3:13" ht="12.75" customHeight="1" x14ac:dyDescent="0.2">
      <c r="C61582"/>
      <c r="M61582"/>
    </row>
    <row r="61583" spans="3:13" ht="12.75" customHeight="1" x14ac:dyDescent="0.2">
      <c r="C61583"/>
      <c r="M61583"/>
    </row>
    <row r="61584" spans="3:13" ht="12.75" customHeight="1" x14ac:dyDescent="0.2">
      <c r="C61584"/>
      <c r="M61584"/>
    </row>
    <row r="61585" spans="3:13" ht="12.75" customHeight="1" x14ac:dyDescent="0.2">
      <c r="C61585"/>
      <c r="M61585"/>
    </row>
    <row r="61586" spans="3:13" ht="12.75" customHeight="1" x14ac:dyDescent="0.2">
      <c r="C61586"/>
      <c r="M61586"/>
    </row>
    <row r="61587" spans="3:13" ht="12.75" customHeight="1" x14ac:dyDescent="0.2">
      <c r="C61587"/>
      <c r="M61587"/>
    </row>
    <row r="61588" spans="3:13" ht="12.75" customHeight="1" x14ac:dyDescent="0.2">
      <c r="C61588"/>
      <c r="M61588"/>
    </row>
    <row r="61589" spans="3:13" ht="12.75" customHeight="1" x14ac:dyDescent="0.2">
      <c r="C61589"/>
      <c r="M61589"/>
    </row>
    <row r="61590" spans="3:13" ht="12.75" customHeight="1" x14ac:dyDescent="0.2">
      <c r="C61590"/>
      <c r="M61590"/>
    </row>
    <row r="61591" spans="3:13" ht="12.75" customHeight="1" x14ac:dyDescent="0.2">
      <c r="C61591"/>
      <c r="M61591"/>
    </row>
    <row r="61592" spans="3:13" ht="12.75" customHeight="1" x14ac:dyDescent="0.2">
      <c r="C61592"/>
      <c r="M61592"/>
    </row>
    <row r="61593" spans="3:13" ht="12.75" customHeight="1" x14ac:dyDescent="0.2">
      <c r="C61593"/>
      <c r="M61593"/>
    </row>
    <row r="61594" spans="3:13" ht="12.75" customHeight="1" x14ac:dyDescent="0.2">
      <c r="C61594"/>
      <c r="M61594"/>
    </row>
    <row r="61595" spans="3:13" ht="12.75" customHeight="1" x14ac:dyDescent="0.2">
      <c r="C61595"/>
      <c r="M61595"/>
    </row>
    <row r="61596" spans="3:13" ht="12.75" customHeight="1" x14ac:dyDescent="0.2">
      <c r="C61596"/>
      <c r="M61596"/>
    </row>
    <row r="61597" spans="3:13" ht="12.75" customHeight="1" x14ac:dyDescent="0.2">
      <c r="C61597"/>
      <c r="M61597"/>
    </row>
    <row r="61598" spans="3:13" ht="12.75" customHeight="1" x14ac:dyDescent="0.2">
      <c r="C61598"/>
      <c r="M61598"/>
    </row>
    <row r="61599" spans="3:13" ht="12.75" customHeight="1" x14ac:dyDescent="0.2">
      <c r="C61599"/>
      <c r="M61599"/>
    </row>
    <row r="61600" spans="3:13" ht="12.75" customHeight="1" x14ac:dyDescent="0.2">
      <c r="C61600"/>
      <c r="M61600"/>
    </row>
    <row r="61601" spans="3:13" ht="12.75" customHeight="1" x14ac:dyDescent="0.2">
      <c r="C61601"/>
      <c r="M61601"/>
    </row>
    <row r="61602" spans="3:13" ht="12.75" customHeight="1" x14ac:dyDescent="0.2">
      <c r="C61602"/>
      <c r="M61602"/>
    </row>
    <row r="61603" spans="3:13" ht="12.75" customHeight="1" x14ac:dyDescent="0.2">
      <c r="C61603"/>
      <c r="M61603"/>
    </row>
    <row r="61604" spans="3:13" ht="12.75" customHeight="1" x14ac:dyDescent="0.2">
      <c r="C61604"/>
      <c r="M61604"/>
    </row>
    <row r="61605" spans="3:13" ht="12.75" customHeight="1" x14ac:dyDescent="0.2">
      <c r="C61605"/>
      <c r="M61605"/>
    </row>
    <row r="61606" spans="3:13" ht="12.75" customHeight="1" x14ac:dyDescent="0.2">
      <c r="C61606"/>
      <c r="M61606"/>
    </row>
    <row r="61607" spans="3:13" ht="12.75" customHeight="1" x14ac:dyDescent="0.2">
      <c r="C61607"/>
      <c r="M61607"/>
    </row>
    <row r="61608" spans="3:13" ht="12.75" customHeight="1" x14ac:dyDescent="0.2">
      <c r="C61608"/>
      <c r="M61608"/>
    </row>
    <row r="61609" spans="3:13" ht="12.75" customHeight="1" x14ac:dyDescent="0.2">
      <c r="C61609"/>
      <c r="M61609"/>
    </row>
    <row r="61610" spans="3:13" ht="12.75" customHeight="1" x14ac:dyDescent="0.2">
      <c r="C61610"/>
      <c r="M61610"/>
    </row>
    <row r="61611" spans="3:13" ht="12.75" customHeight="1" x14ac:dyDescent="0.2">
      <c r="C61611"/>
      <c r="M61611"/>
    </row>
    <row r="61612" spans="3:13" ht="12.75" customHeight="1" x14ac:dyDescent="0.2">
      <c r="C61612"/>
      <c r="M61612"/>
    </row>
    <row r="61613" spans="3:13" ht="12.75" customHeight="1" x14ac:dyDescent="0.2">
      <c r="C61613"/>
      <c r="M61613"/>
    </row>
    <row r="61614" spans="3:13" ht="12.75" customHeight="1" x14ac:dyDescent="0.2">
      <c r="C61614"/>
      <c r="M61614"/>
    </row>
    <row r="61615" spans="3:13" ht="12.75" customHeight="1" x14ac:dyDescent="0.2">
      <c r="C61615"/>
      <c r="M61615"/>
    </row>
    <row r="61616" spans="3:13" ht="12.75" customHeight="1" x14ac:dyDescent="0.2">
      <c r="C61616"/>
      <c r="M61616"/>
    </row>
    <row r="61617" spans="3:13" ht="12.75" customHeight="1" x14ac:dyDescent="0.2">
      <c r="C61617"/>
      <c r="M61617"/>
    </row>
    <row r="61618" spans="3:13" ht="12.75" customHeight="1" x14ac:dyDescent="0.2">
      <c r="C61618"/>
      <c r="M61618"/>
    </row>
    <row r="61619" spans="3:13" ht="12.75" customHeight="1" x14ac:dyDescent="0.2">
      <c r="C61619"/>
      <c r="M61619"/>
    </row>
    <row r="61620" spans="3:13" ht="12.75" customHeight="1" x14ac:dyDescent="0.2">
      <c r="C61620"/>
      <c r="M61620"/>
    </row>
    <row r="61621" spans="3:13" ht="12.75" customHeight="1" x14ac:dyDescent="0.2">
      <c r="C61621"/>
      <c r="M61621"/>
    </row>
    <row r="61622" spans="3:13" ht="12.75" customHeight="1" x14ac:dyDescent="0.2">
      <c r="C61622"/>
      <c r="M61622"/>
    </row>
    <row r="61623" spans="3:13" ht="12.75" customHeight="1" x14ac:dyDescent="0.2">
      <c r="C61623"/>
      <c r="M61623"/>
    </row>
    <row r="61624" spans="3:13" ht="12.75" customHeight="1" x14ac:dyDescent="0.2">
      <c r="C61624"/>
      <c r="M61624"/>
    </row>
    <row r="61625" spans="3:13" ht="12.75" customHeight="1" x14ac:dyDescent="0.2">
      <c r="C61625"/>
      <c r="M61625"/>
    </row>
    <row r="61626" spans="3:13" ht="12.75" customHeight="1" x14ac:dyDescent="0.2">
      <c r="C61626"/>
      <c r="M61626"/>
    </row>
    <row r="61627" spans="3:13" ht="12.75" customHeight="1" x14ac:dyDescent="0.2">
      <c r="C61627"/>
      <c r="M61627"/>
    </row>
    <row r="61628" spans="3:13" ht="12.75" customHeight="1" x14ac:dyDescent="0.2">
      <c r="C61628"/>
      <c r="M61628"/>
    </row>
    <row r="61629" spans="3:13" ht="12.75" customHeight="1" x14ac:dyDescent="0.2">
      <c r="C61629"/>
      <c r="M61629"/>
    </row>
    <row r="61630" spans="3:13" ht="12.75" customHeight="1" x14ac:dyDescent="0.2">
      <c r="C61630"/>
      <c r="M61630"/>
    </row>
    <row r="61631" spans="3:13" ht="12.75" customHeight="1" x14ac:dyDescent="0.2">
      <c r="C61631"/>
      <c r="M61631"/>
    </row>
    <row r="61632" spans="3:13" ht="12.75" customHeight="1" x14ac:dyDescent="0.2">
      <c r="C61632"/>
      <c r="M61632"/>
    </row>
    <row r="61633" spans="3:13" ht="12.75" customHeight="1" x14ac:dyDescent="0.2">
      <c r="C61633"/>
      <c r="M61633"/>
    </row>
    <row r="61634" spans="3:13" ht="12.75" customHeight="1" x14ac:dyDescent="0.2">
      <c r="C61634"/>
      <c r="M61634"/>
    </row>
    <row r="61635" spans="3:13" ht="12.75" customHeight="1" x14ac:dyDescent="0.2">
      <c r="C61635"/>
      <c r="M61635"/>
    </row>
    <row r="61636" spans="3:13" ht="12.75" customHeight="1" x14ac:dyDescent="0.2">
      <c r="C61636"/>
      <c r="M61636"/>
    </row>
    <row r="61637" spans="3:13" ht="12.75" customHeight="1" x14ac:dyDescent="0.2">
      <c r="C61637"/>
      <c r="M61637"/>
    </row>
    <row r="61638" spans="3:13" ht="12.75" customHeight="1" x14ac:dyDescent="0.2">
      <c r="C61638"/>
      <c r="M61638"/>
    </row>
    <row r="61639" spans="3:13" ht="12.75" customHeight="1" x14ac:dyDescent="0.2">
      <c r="C61639"/>
      <c r="M61639"/>
    </row>
    <row r="61640" spans="3:13" ht="12.75" customHeight="1" x14ac:dyDescent="0.2">
      <c r="C61640"/>
      <c r="M61640"/>
    </row>
    <row r="61641" spans="3:13" ht="12.75" customHeight="1" x14ac:dyDescent="0.2">
      <c r="C61641"/>
      <c r="M61641"/>
    </row>
    <row r="61642" spans="3:13" ht="12.75" customHeight="1" x14ac:dyDescent="0.2">
      <c r="C61642"/>
      <c r="M61642"/>
    </row>
    <row r="61643" spans="3:13" ht="12.75" customHeight="1" x14ac:dyDescent="0.2">
      <c r="C61643"/>
      <c r="M61643"/>
    </row>
    <row r="61644" spans="3:13" ht="12.75" customHeight="1" x14ac:dyDescent="0.2">
      <c r="C61644"/>
      <c r="M61644"/>
    </row>
    <row r="61645" spans="3:13" ht="12.75" customHeight="1" x14ac:dyDescent="0.2">
      <c r="C61645"/>
      <c r="M61645"/>
    </row>
    <row r="61646" spans="3:13" ht="12.75" customHeight="1" x14ac:dyDescent="0.2">
      <c r="C61646"/>
      <c r="M61646"/>
    </row>
    <row r="61647" spans="3:13" ht="12.75" customHeight="1" x14ac:dyDescent="0.2">
      <c r="C61647"/>
      <c r="M61647"/>
    </row>
    <row r="61648" spans="3:13" ht="12.75" customHeight="1" x14ac:dyDescent="0.2">
      <c r="C61648"/>
      <c r="M61648"/>
    </row>
    <row r="61649" spans="3:13" ht="12.75" customHeight="1" x14ac:dyDescent="0.2">
      <c r="C61649"/>
      <c r="M61649"/>
    </row>
    <row r="61650" spans="3:13" ht="12.75" customHeight="1" x14ac:dyDescent="0.2">
      <c r="C61650"/>
      <c r="M61650"/>
    </row>
    <row r="61651" spans="3:13" ht="12.75" customHeight="1" x14ac:dyDescent="0.2">
      <c r="C61651"/>
      <c r="M61651"/>
    </row>
    <row r="61652" spans="3:13" ht="12.75" customHeight="1" x14ac:dyDescent="0.2">
      <c r="C61652"/>
      <c r="M61652"/>
    </row>
    <row r="61653" spans="3:13" ht="12.75" customHeight="1" x14ac:dyDescent="0.2">
      <c r="C61653"/>
      <c r="M61653"/>
    </row>
    <row r="61654" spans="3:13" ht="12.75" customHeight="1" x14ac:dyDescent="0.2">
      <c r="C61654"/>
      <c r="M61654"/>
    </row>
    <row r="61655" spans="3:13" ht="12.75" customHeight="1" x14ac:dyDescent="0.2">
      <c r="C61655"/>
      <c r="M61655"/>
    </row>
    <row r="61656" spans="3:13" ht="12.75" customHeight="1" x14ac:dyDescent="0.2">
      <c r="C61656"/>
      <c r="M61656"/>
    </row>
    <row r="61657" spans="3:13" ht="12.75" customHeight="1" x14ac:dyDescent="0.2">
      <c r="C61657"/>
      <c r="M61657"/>
    </row>
    <row r="61658" spans="3:13" ht="12.75" customHeight="1" x14ac:dyDescent="0.2">
      <c r="C61658"/>
      <c r="M61658"/>
    </row>
    <row r="61659" spans="3:13" ht="12.75" customHeight="1" x14ac:dyDescent="0.2">
      <c r="C61659"/>
      <c r="M61659"/>
    </row>
    <row r="61660" spans="3:13" ht="12.75" customHeight="1" x14ac:dyDescent="0.2">
      <c r="C61660"/>
      <c r="M61660"/>
    </row>
    <row r="61661" spans="3:13" ht="12.75" customHeight="1" x14ac:dyDescent="0.2">
      <c r="C61661"/>
      <c r="M61661"/>
    </row>
    <row r="61662" spans="3:13" ht="12.75" customHeight="1" x14ac:dyDescent="0.2">
      <c r="C61662"/>
      <c r="M61662"/>
    </row>
    <row r="61663" spans="3:13" ht="12.75" customHeight="1" x14ac:dyDescent="0.2">
      <c r="C61663"/>
      <c r="M61663"/>
    </row>
    <row r="61664" spans="3:13" ht="12.75" customHeight="1" x14ac:dyDescent="0.2">
      <c r="C61664"/>
      <c r="M61664"/>
    </row>
    <row r="61665" spans="3:13" ht="12.75" customHeight="1" x14ac:dyDescent="0.2">
      <c r="C61665"/>
      <c r="M61665"/>
    </row>
    <row r="61666" spans="3:13" ht="12.75" customHeight="1" x14ac:dyDescent="0.2">
      <c r="C61666"/>
      <c r="M61666"/>
    </row>
    <row r="61667" spans="3:13" ht="12.75" customHeight="1" x14ac:dyDescent="0.2">
      <c r="C61667"/>
      <c r="M61667"/>
    </row>
    <row r="61668" spans="3:13" ht="12.75" customHeight="1" x14ac:dyDescent="0.2">
      <c r="C61668"/>
      <c r="M61668"/>
    </row>
    <row r="61669" spans="3:13" ht="12.75" customHeight="1" x14ac:dyDescent="0.2">
      <c r="C61669"/>
      <c r="M61669"/>
    </row>
    <row r="61670" spans="3:13" ht="12.75" customHeight="1" x14ac:dyDescent="0.2">
      <c r="C61670"/>
      <c r="M61670"/>
    </row>
    <row r="61671" spans="3:13" ht="12.75" customHeight="1" x14ac:dyDescent="0.2">
      <c r="C61671"/>
      <c r="M61671"/>
    </row>
    <row r="61672" spans="3:13" ht="12.75" customHeight="1" x14ac:dyDescent="0.2">
      <c r="C61672"/>
      <c r="M61672"/>
    </row>
    <row r="61673" spans="3:13" ht="12.75" customHeight="1" x14ac:dyDescent="0.2">
      <c r="C61673"/>
      <c r="M61673"/>
    </row>
    <row r="61674" spans="3:13" ht="12.75" customHeight="1" x14ac:dyDescent="0.2">
      <c r="C61674"/>
      <c r="M61674"/>
    </row>
    <row r="61675" spans="3:13" ht="12.75" customHeight="1" x14ac:dyDescent="0.2">
      <c r="C61675"/>
      <c r="M61675"/>
    </row>
    <row r="61676" spans="3:13" ht="12.75" customHeight="1" x14ac:dyDescent="0.2">
      <c r="C61676"/>
      <c r="M61676"/>
    </row>
    <row r="61677" spans="3:13" ht="12.75" customHeight="1" x14ac:dyDescent="0.2">
      <c r="C61677"/>
      <c r="M61677"/>
    </row>
    <row r="61678" spans="3:13" ht="12.75" customHeight="1" x14ac:dyDescent="0.2">
      <c r="C61678"/>
      <c r="M61678"/>
    </row>
    <row r="61679" spans="3:13" ht="12.75" customHeight="1" x14ac:dyDescent="0.2">
      <c r="C61679"/>
      <c r="M61679"/>
    </row>
    <row r="61680" spans="3:13" ht="12.75" customHeight="1" x14ac:dyDescent="0.2">
      <c r="C61680"/>
      <c r="M61680"/>
    </row>
    <row r="61681" spans="3:13" ht="12.75" customHeight="1" x14ac:dyDescent="0.2">
      <c r="C61681"/>
      <c r="M61681"/>
    </row>
    <row r="61682" spans="3:13" ht="12.75" customHeight="1" x14ac:dyDescent="0.2">
      <c r="C61682"/>
      <c r="M61682"/>
    </row>
    <row r="61683" spans="3:13" ht="12.75" customHeight="1" x14ac:dyDescent="0.2">
      <c r="C61683"/>
      <c r="M61683"/>
    </row>
    <row r="61684" spans="3:13" ht="12.75" customHeight="1" x14ac:dyDescent="0.2">
      <c r="C61684"/>
      <c r="M61684"/>
    </row>
    <row r="61685" spans="3:13" ht="12.75" customHeight="1" x14ac:dyDescent="0.2">
      <c r="C61685"/>
      <c r="M61685"/>
    </row>
    <row r="61686" spans="3:13" ht="12.75" customHeight="1" x14ac:dyDescent="0.2">
      <c r="C61686"/>
      <c r="M61686"/>
    </row>
    <row r="61687" spans="3:13" ht="12.75" customHeight="1" x14ac:dyDescent="0.2">
      <c r="C61687"/>
      <c r="M61687"/>
    </row>
    <row r="61688" spans="3:13" ht="12.75" customHeight="1" x14ac:dyDescent="0.2">
      <c r="C61688"/>
      <c r="M61688"/>
    </row>
    <row r="61689" spans="3:13" ht="12.75" customHeight="1" x14ac:dyDescent="0.2">
      <c r="C61689"/>
      <c r="M61689"/>
    </row>
    <row r="61690" spans="3:13" ht="12.75" customHeight="1" x14ac:dyDescent="0.2">
      <c r="C61690"/>
      <c r="M61690"/>
    </row>
    <row r="61691" spans="3:13" ht="12.75" customHeight="1" x14ac:dyDescent="0.2">
      <c r="C61691"/>
      <c r="M61691"/>
    </row>
    <row r="61692" spans="3:13" ht="12.75" customHeight="1" x14ac:dyDescent="0.2">
      <c r="C61692"/>
      <c r="M61692"/>
    </row>
    <row r="61693" spans="3:13" ht="12.75" customHeight="1" x14ac:dyDescent="0.2">
      <c r="C61693"/>
      <c r="M61693"/>
    </row>
    <row r="61694" spans="3:13" ht="12.75" customHeight="1" x14ac:dyDescent="0.2">
      <c r="C61694"/>
      <c r="M61694"/>
    </row>
    <row r="61695" spans="3:13" ht="12.75" customHeight="1" x14ac:dyDescent="0.2">
      <c r="C61695"/>
      <c r="M61695"/>
    </row>
    <row r="61696" spans="3:13" ht="12.75" customHeight="1" x14ac:dyDescent="0.2">
      <c r="C61696"/>
      <c r="M61696"/>
    </row>
    <row r="61697" spans="3:13" ht="12.75" customHeight="1" x14ac:dyDescent="0.2">
      <c r="C61697"/>
      <c r="M61697"/>
    </row>
    <row r="61698" spans="3:13" ht="12.75" customHeight="1" x14ac:dyDescent="0.2">
      <c r="C61698"/>
      <c r="M61698"/>
    </row>
    <row r="61699" spans="3:13" ht="12.75" customHeight="1" x14ac:dyDescent="0.2">
      <c r="C61699"/>
      <c r="M61699"/>
    </row>
    <row r="61700" spans="3:13" ht="12.75" customHeight="1" x14ac:dyDescent="0.2">
      <c r="C61700"/>
      <c r="M61700"/>
    </row>
    <row r="61701" spans="3:13" ht="12.75" customHeight="1" x14ac:dyDescent="0.2">
      <c r="C61701"/>
      <c r="M61701"/>
    </row>
    <row r="61702" spans="3:13" ht="12.75" customHeight="1" x14ac:dyDescent="0.2">
      <c r="C61702"/>
      <c r="M61702"/>
    </row>
    <row r="61703" spans="3:13" ht="12.75" customHeight="1" x14ac:dyDescent="0.2">
      <c r="C61703"/>
      <c r="M61703"/>
    </row>
    <row r="61704" spans="3:13" ht="12.75" customHeight="1" x14ac:dyDescent="0.2">
      <c r="C61704"/>
      <c r="M61704"/>
    </row>
    <row r="61705" spans="3:13" ht="12.75" customHeight="1" x14ac:dyDescent="0.2">
      <c r="C61705"/>
      <c r="M61705"/>
    </row>
    <row r="61706" spans="3:13" ht="12.75" customHeight="1" x14ac:dyDescent="0.2">
      <c r="C61706"/>
      <c r="M61706"/>
    </row>
    <row r="61707" spans="3:13" ht="12.75" customHeight="1" x14ac:dyDescent="0.2">
      <c r="C61707"/>
      <c r="M61707"/>
    </row>
    <row r="61708" spans="3:13" ht="12.75" customHeight="1" x14ac:dyDescent="0.2">
      <c r="C61708"/>
      <c r="M61708"/>
    </row>
    <row r="61709" spans="3:13" ht="12.75" customHeight="1" x14ac:dyDescent="0.2">
      <c r="C61709"/>
      <c r="M61709"/>
    </row>
    <row r="61710" spans="3:13" ht="12.75" customHeight="1" x14ac:dyDescent="0.2">
      <c r="C61710"/>
      <c r="M61710"/>
    </row>
    <row r="61711" spans="3:13" ht="12.75" customHeight="1" x14ac:dyDescent="0.2">
      <c r="C61711"/>
      <c r="M61711"/>
    </row>
    <row r="61712" spans="3:13" ht="12.75" customHeight="1" x14ac:dyDescent="0.2">
      <c r="C61712"/>
      <c r="M61712"/>
    </row>
    <row r="61713" spans="3:13" ht="12.75" customHeight="1" x14ac:dyDescent="0.2">
      <c r="C61713"/>
      <c r="M61713"/>
    </row>
    <row r="61714" spans="3:13" ht="12.75" customHeight="1" x14ac:dyDescent="0.2">
      <c r="C61714"/>
      <c r="M61714"/>
    </row>
    <row r="61715" spans="3:13" ht="12.75" customHeight="1" x14ac:dyDescent="0.2">
      <c r="C61715"/>
      <c r="M61715"/>
    </row>
    <row r="61716" spans="3:13" ht="12.75" customHeight="1" x14ac:dyDescent="0.2">
      <c r="C61716"/>
      <c r="M61716"/>
    </row>
    <row r="61717" spans="3:13" ht="12.75" customHeight="1" x14ac:dyDescent="0.2">
      <c r="C61717"/>
      <c r="M61717"/>
    </row>
    <row r="61718" spans="3:13" ht="12.75" customHeight="1" x14ac:dyDescent="0.2">
      <c r="C61718"/>
      <c r="M61718"/>
    </row>
    <row r="61719" spans="3:13" ht="12.75" customHeight="1" x14ac:dyDescent="0.2">
      <c r="C61719"/>
      <c r="M61719"/>
    </row>
    <row r="61720" spans="3:13" ht="12.75" customHeight="1" x14ac:dyDescent="0.2">
      <c r="C61720"/>
      <c r="M61720"/>
    </row>
    <row r="61721" spans="3:13" ht="12.75" customHeight="1" x14ac:dyDescent="0.2">
      <c r="C61721"/>
      <c r="M61721"/>
    </row>
    <row r="61722" spans="3:13" ht="12.75" customHeight="1" x14ac:dyDescent="0.2">
      <c r="C61722"/>
      <c r="M61722"/>
    </row>
    <row r="61723" spans="3:13" ht="12.75" customHeight="1" x14ac:dyDescent="0.2">
      <c r="C61723"/>
      <c r="M61723"/>
    </row>
    <row r="61724" spans="3:13" ht="12.75" customHeight="1" x14ac:dyDescent="0.2">
      <c r="C61724"/>
      <c r="M61724"/>
    </row>
    <row r="61725" spans="3:13" ht="12.75" customHeight="1" x14ac:dyDescent="0.2">
      <c r="C61725"/>
      <c r="M61725"/>
    </row>
    <row r="61726" spans="3:13" ht="12.75" customHeight="1" x14ac:dyDescent="0.2">
      <c r="C61726"/>
      <c r="M61726"/>
    </row>
    <row r="61727" spans="3:13" ht="12.75" customHeight="1" x14ac:dyDescent="0.2">
      <c r="C61727"/>
      <c r="M61727"/>
    </row>
    <row r="61728" spans="3:13" ht="12.75" customHeight="1" x14ac:dyDescent="0.2">
      <c r="C61728"/>
      <c r="M61728"/>
    </row>
    <row r="61729" spans="3:13" ht="12.75" customHeight="1" x14ac:dyDescent="0.2">
      <c r="C61729"/>
      <c r="M61729"/>
    </row>
    <row r="61730" spans="3:13" ht="12.75" customHeight="1" x14ac:dyDescent="0.2">
      <c r="C61730"/>
      <c r="M61730"/>
    </row>
    <row r="61731" spans="3:13" ht="12.75" customHeight="1" x14ac:dyDescent="0.2">
      <c r="C61731"/>
      <c r="M61731"/>
    </row>
    <row r="61732" spans="3:13" ht="12.75" customHeight="1" x14ac:dyDescent="0.2">
      <c r="C61732"/>
      <c r="M61732"/>
    </row>
    <row r="61733" spans="3:13" ht="12.75" customHeight="1" x14ac:dyDescent="0.2">
      <c r="C61733"/>
      <c r="M61733"/>
    </row>
    <row r="61734" spans="3:13" ht="12.75" customHeight="1" x14ac:dyDescent="0.2">
      <c r="C61734"/>
      <c r="M61734"/>
    </row>
    <row r="61735" spans="3:13" ht="12.75" customHeight="1" x14ac:dyDescent="0.2">
      <c r="C61735"/>
      <c r="M61735"/>
    </row>
    <row r="61736" spans="3:13" ht="12.75" customHeight="1" x14ac:dyDescent="0.2">
      <c r="C61736"/>
      <c r="M61736"/>
    </row>
    <row r="61737" spans="3:13" ht="12.75" customHeight="1" x14ac:dyDescent="0.2">
      <c r="C61737"/>
      <c r="M61737"/>
    </row>
    <row r="61738" spans="3:13" ht="12.75" customHeight="1" x14ac:dyDescent="0.2">
      <c r="C61738"/>
      <c r="M61738"/>
    </row>
    <row r="61739" spans="3:13" ht="12.75" customHeight="1" x14ac:dyDescent="0.2">
      <c r="C61739"/>
      <c r="M61739"/>
    </row>
    <row r="61740" spans="3:13" ht="12.75" customHeight="1" x14ac:dyDescent="0.2">
      <c r="C61740"/>
      <c r="M61740"/>
    </row>
    <row r="61741" spans="3:13" ht="12.75" customHeight="1" x14ac:dyDescent="0.2">
      <c r="C61741"/>
      <c r="M61741"/>
    </row>
    <row r="61742" spans="3:13" ht="12.75" customHeight="1" x14ac:dyDescent="0.2">
      <c r="C61742"/>
      <c r="M61742"/>
    </row>
    <row r="61743" spans="3:13" ht="12.75" customHeight="1" x14ac:dyDescent="0.2">
      <c r="C61743"/>
      <c r="M61743"/>
    </row>
    <row r="61744" spans="3:13" ht="12.75" customHeight="1" x14ac:dyDescent="0.2">
      <c r="C61744"/>
      <c r="M61744"/>
    </row>
    <row r="61745" spans="3:13" ht="12.75" customHeight="1" x14ac:dyDescent="0.2">
      <c r="C61745"/>
      <c r="M61745"/>
    </row>
    <row r="61746" spans="3:13" ht="12.75" customHeight="1" x14ac:dyDescent="0.2">
      <c r="C61746"/>
      <c r="M61746"/>
    </row>
    <row r="61747" spans="3:13" ht="12.75" customHeight="1" x14ac:dyDescent="0.2">
      <c r="C61747"/>
      <c r="M61747"/>
    </row>
    <row r="61748" spans="3:13" ht="12.75" customHeight="1" x14ac:dyDescent="0.2">
      <c r="C61748"/>
      <c r="M61748"/>
    </row>
    <row r="61749" spans="3:13" ht="12.75" customHeight="1" x14ac:dyDescent="0.2">
      <c r="C61749"/>
      <c r="M61749"/>
    </row>
    <row r="61750" spans="3:13" ht="12.75" customHeight="1" x14ac:dyDescent="0.2">
      <c r="C61750"/>
      <c r="M61750"/>
    </row>
    <row r="61751" spans="3:13" ht="12.75" customHeight="1" x14ac:dyDescent="0.2">
      <c r="C61751"/>
      <c r="M61751"/>
    </row>
    <row r="61752" spans="3:13" ht="12.75" customHeight="1" x14ac:dyDescent="0.2">
      <c r="C61752"/>
      <c r="M61752"/>
    </row>
    <row r="61753" spans="3:13" ht="12.75" customHeight="1" x14ac:dyDescent="0.2">
      <c r="C61753"/>
      <c r="M61753"/>
    </row>
    <row r="61754" spans="3:13" ht="12.75" customHeight="1" x14ac:dyDescent="0.2">
      <c r="C61754"/>
      <c r="M61754"/>
    </row>
    <row r="61755" spans="3:13" ht="12.75" customHeight="1" x14ac:dyDescent="0.2">
      <c r="C61755"/>
      <c r="M61755"/>
    </row>
    <row r="61756" spans="3:13" ht="12.75" customHeight="1" x14ac:dyDescent="0.2">
      <c r="C61756"/>
      <c r="M61756"/>
    </row>
    <row r="61757" spans="3:13" ht="12.75" customHeight="1" x14ac:dyDescent="0.2">
      <c r="C61757"/>
      <c r="M61757"/>
    </row>
    <row r="61758" spans="3:13" ht="12.75" customHeight="1" x14ac:dyDescent="0.2">
      <c r="C61758"/>
      <c r="M61758"/>
    </row>
    <row r="61759" spans="3:13" ht="12.75" customHeight="1" x14ac:dyDescent="0.2">
      <c r="C61759"/>
      <c r="M61759"/>
    </row>
    <row r="61760" spans="3:13" ht="12.75" customHeight="1" x14ac:dyDescent="0.2">
      <c r="C61760"/>
      <c r="M61760"/>
    </row>
    <row r="61761" spans="3:13" ht="12.75" customHeight="1" x14ac:dyDescent="0.2">
      <c r="C61761"/>
      <c r="M61761"/>
    </row>
    <row r="61762" spans="3:13" ht="12.75" customHeight="1" x14ac:dyDescent="0.2">
      <c r="C61762"/>
      <c r="M61762"/>
    </row>
    <row r="61763" spans="3:13" ht="12.75" customHeight="1" x14ac:dyDescent="0.2">
      <c r="C61763"/>
      <c r="M61763"/>
    </row>
    <row r="61764" spans="3:13" ht="12.75" customHeight="1" x14ac:dyDescent="0.2">
      <c r="C61764"/>
      <c r="M61764"/>
    </row>
    <row r="61765" spans="3:13" ht="12.75" customHeight="1" x14ac:dyDescent="0.2">
      <c r="C61765"/>
      <c r="M61765"/>
    </row>
    <row r="61766" spans="3:13" ht="12.75" customHeight="1" x14ac:dyDescent="0.2">
      <c r="C61766"/>
      <c r="M61766"/>
    </row>
    <row r="61767" spans="3:13" ht="12.75" customHeight="1" x14ac:dyDescent="0.2">
      <c r="C61767"/>
      <c r="M61767"/>
    </row>
    <row r="61768" spans="3:13" ht="12.75" customHeight="1" x14ac:dyDescent="0.2">
      <c r="C61768"/>
      <c r="M61768"/>
    </row>
    <row r="61769" spans="3:13" ht="12.75" customHeight="1" x14ac:dyDescent="0.2">
      <c r="C61769"/>
      <c r="M61769"/>
    </row>
    <row r="61770" spans="3:13" ht="12.75" customHeight="1" x14ac:dyDescent="0.2">
      <c r="C61770"/>
      <c r="M61770"/>
    </row>
    <row r="61771" spans="3:13" ht="12.75" customHeight="1" x14ac:dyDescent="0.2">
      <c r="C61771"/>
      <c r="M61771"/>
    </row>
    <row r="61772" spans="3:13" ht="12.75" customHeight="1" x14ac:dyDescent="0.2">
      <c r="C61772"/>
      <c r="M61772"/>
    </row>
    <row r="61773" spans="3:13" ht="12.75" customHeight="1" x14ac:dyDescent="0.2">
      <c r="C61773"/>
      <c r="M61773"/>
    </row>
    <row r="61774" spans="3:13" ht="12.75" customHeight="1" x14ac:dyDescent="0.2">
      <c r="C61774"/>
      <c r="M61774"/>
    </row>
    <row r="61775" spans="3:13" ht="12.75" customHeight="1" x14ac:dyDescent="0.2">
      <c r="C61775"/>
      <c r="M61775"/>
    </row>
    <row r="61776" spans="3:13" ht="12.75" customHeight="1" x14ac:dyDescent="0.2">
      <c r="C61776"/>
      <c r="M61776"/>
    </row>
    <row r="61777" spans="3:13" ht="12.75" customHeight="1" x14ac:dyDescent="0.2">
      <c r="C61777"/>
      <c r="M61777"/>
    </row>
    <row r="61778" spans="3:13" ht="12.75" customHeight="1" x14ac:dyDescent="0.2">
      <c r="C61778"/>
      <c r="M61778"/>
    </row>
    <row r="61779" spans="3:13" ht="12.75" customHeight="1" x14ac:dyDescent="0.2">
      <c r="C61779"/>
      <c r="M61779"/>
    </row>
    <row r="61780" spans="3:13" ht="12.75" customHeight="1" x14ac:dyDescent="0.2">
      <c r="C61780"/>
      <c r="M61780"/>
    </row>
    <row r="61781" spans="3:13" ht="12.75" customHeight="1" x14ac:dyDescent="0.2">
      <c r="C61781"/>
      <c r="M61781"/>
    </row>
    <row r="61782" spans="3:13" ht="12.75" customHeight="1" x14ac:dyDescent="0.2">
      <c r="C61782"/>
      <c r="M61782"/>
    </row>
    <row r="61783" spans="3:13" ht="12.75" customHeight="1" x14ac:dyDescent="0.2">
      <c r="C61783"/>
      <c r="M61783"/>
    </row>
    <row r="61784" spans="3:13" ht="12.75" customHeight="1" x14ac:dyDescent="0.2">
      <c r="C61784"/>
      <c r="M61784"/>
    </row>
    <row r="61785" spans="3:13" ht="12.75" customHeight="1" x14ac:dyDescent="0.2">
      <c r="C61785"/>
      <c r="M61785"/>
    </row>
    <row r="61786" spans="3:13" ht="12.75" customHeight="1" x14ac:dyDescent="0.2">
      <c r="C61786"/>
      <c r="M61786"/>
    </row>
    <row r="61787" spans="3:13" ht="12.75" customHeight="1" x14ac:dyDescent="0.2">
      <c r="C61787"/>
      <c r="M61787"/>
    </row>
    <row r="61788" spans="3:13" ht="12.75" customHeight="1" x14ac:dyDescent="0.2">
      <c r="C61788"/>
      <c r="M61788"/>
    </row>
    <row r="61789" spans="3:13" ht="12.75" customHeight="1" x14ac:dyDescent="0.2">
      <c r="C61789"/>
      <c r="M61789"/>
    </row>
    <row r="61790" spans="3:13" ht="12.75" customHeight="1" x14ac:dyDescent="0.2">
      <c r="C61790"/>
      <c r="M61790"/>
    </row>
    <row r="61791" spans="3:13" ht="12.75" customHeight="1" x14ac:dyDescent="0.2">
      <c r="C61791"/>
      <c r="M61791"/>
    </row>
    <row r="61792" spans="3:13" ht="12.75" customHeight="1" x14ac:dyDescent="0.2">
      <c r="C61792"/>
      <c r="M61792"/>
    </row>
    <row r="61793" spans="3:13" ht="12.75" customHeight="1" x14ac:dyDescent="0.2">
      <c r="C61793"/>
      <c r="M61793"/>
    </row>
    <row r="61794" spans="3:13" ht="12.75" customHeight="1" x14ac:dyDescent="0.2">
      <c r="C61794"/>
      <c r="M61794"/>
    </row>
    <row r="61795" spans="3:13" ht="12.75" customHeight="1" x14ac:dyDescent="0.2">
      <c r="C61795"/>
      <c r="M61795"/>
    </row>
    <row r="61796" spans="3:13" ht="12.75" customHeight="1" x14ac:dyDescent="0.2">
      <c r="C61796"/>
      <c r="M61796"/>
    </row>
    <row r="61797" spans="3:13" ht="12.75" customHeight="1" x14ac:dyDescent="0.2">
      <c r="C61797"/>
      <c r="M61797"/>
    </row>
    <row r="61798" spans="3:13" ht="12.75" customHeight="1" x14ac:dyDescent="0.2">
      <c r="C61798"/>
      <c r="M61798"/>
    </row>
    <row r="61799" spans="3:13" ht="12.75" customHeight="1" x14ac:dyDescent="0.2">
      <c r="C61799"/>
      <c r="M61799"/>
    </row>
    <row r="61800" spans="3:13" ht="12.75" customHeight="1" x14ac:dyDescent="0.2">
      <c r="C61800"/>
      <c r="M61800"/>
    </row>
    <row r="61801" spans="3:13" ht="12.75" customHeight="1" x14ac:dyDescent="0.2">
      <c r="C61801"/>
      <c r="M61801"/>
    </row>
    <row r="61802" spans="3:13" ht="12.75" customHeight="1" x14ac:dyDescent="0.2">
      <c r="C61802"/>
      <c r="M61802"/>
    </row>
    <row r="61803" spans="3:13" ht="12.75" customHeight="1" x14ac:dyDescent="0.2">
      <c r="C61803"/>
      <c r="M61803"/>
    </row>
    <row r="61804" spans="3:13" ht="12.75" customHeight="1" x14ac:dyDescent="0.2">
      <c r="C61804"/>
      <c r="M61804"/>
    </row>
    <row r="61805" spans="3:13" ht="12.75" customHeight="1" x14ac:dyDescent="0.2">
      <c r="C61805"/>
      <c r="M61805"/>
    </row>
    <row r="61806" spans="3:13" ht="12.75" customHeight="1" x14ac:dyDescent="0.2">
      <c r="C61806"/>
      <c r="M61806"/>
    </row>
    <row r="61807" spans="3:13" ht="12.75" customHeight="1" x14ac:dyDescent="0.2">
      <c r="C61807"/>
      <c r="M61807"/>
    </row>
    <row r="61808" spans="3:13" ht="12.75" customHeight="1" x14ac:dyDescent="0.2">
      <c r="C61808"/>
      <c r="M61808"/>
    </row>
    <row r="61809" spans="3:13" ht="12.75" customHeight="1" x14ac:dyDescent="0.2">
      <c r="C61809"/>
      <c r="M61809"/>
    </row>
    <row r="61810" spans="3:13" ht="12.75" customHeight="1" x14ac:dyDescent="0.2">
      <c r="C61810"/>
      <c r="M61810"/>
    </row>
    <row r="61811" spans="3:13" ht="12.75" customHeight="1" x14ac:dyDescent="0.2">
      <c r="C61811"/>
      <c r="M61811"/>
    </row>
    <row r="61812" spans="3:13" ht="12.75" customHeight="1" x14ac:dyDescent="0.2">
      <c r="C61812"/>
      <c r="M61812"/>
    </row>
    <row r="61813" spans="3:13" ht="12.75" customHeight="1" x14ac:dyDescent="0.2">
      <c r="C61813"/>
      <c r="M61813"/>
    </row>
    <row r="61814" spans="3:13" ht="12.75" customHeight="1" x14ac:dyDescent="0.2">
      <c r="C61814"/>
      <c r="M61814"/>
    </row>
    <row r="61815" spans="3:13" ht="12.75" customHeight="1" x14ac:dyDescent="0.2">
      <c r="C61815"/>
      <c r="M61815"/>
    </row>
    <row r="61816" spans="3:13" ht="12.75" customHeight="1" x14ac:dyDescent="0.2">
      <c r="C61816"/>
      <c r="M61816"/>
    </row>
    <row r="61817" spans="3:13" ht="12.75" customHeight="1" x14ac:dyDescent="0.2">
      <c r="C61817"/>
      <c r="M61817"/>
    </row>
    <row r="61818" spans="3:13" ht="12.75" customHeight="1" x14ac:dyDescent="0.2">
      <c r="C61818"/>
      <c r="M61818"/>
    </row>
    <row r="61819" spans="3:13" ht="12.75" customHeight="1" x14ac:dyDescent="0.2">
      <c r="C61819"/>
      <c r="M61819"/>
    </row>
    <row r="61820" spans="3:13" ht="12.75" customHeight="1" x14ac:dyDescent="0.2">
      <c r="C61820"/>
      <c r="M61820"/>
    </row>
    <row r="61821" spans="3:13" ht="12.75" customHeight="1" x14ac:dyDescent="0.2">
      <c r="C61821"/>
      <c r="M61821"/>
    </row>
    <row r="61822" spans="3:13" ht="12.75" customHeight="1" x14ac:dyDescent="0.2">
      <c r="C61822"/>
      <c r="M61822"/>
    </row>
    <row r="61823" spans="3:13" ht="12.75" customHeight="1" x14ac:dyDescent="0.2">
      <c r="C61823"/>
      <c r="M61823"/>
    </row>
    <row r="61824" spans="3:13" ht="12.75" customHeight="1" x14ac:dyDescent="0.2">
      <c r="C61824"/>
      <c r="M61824"/>
    </row>
    <row r="61825" spans="3:13" ht="12.75" customHeight="1" x14ac:dyDescent="0.2">
      <c r="C61825"/>
      <c r="M61825"/>
    </row>
    <row r="61826" spans="3:13" ht="12.75" customHeight="1" x14ac:dyDescent="0.2">
      <c r="C61826"/>
      <c r="M61826"/>
    </row>
    <row r="61827" spans="3:13" ht="12.75" customHeight="1" x14ac:dyDescent="0.2">
      <c r="C61827"/>
      <c r="M61827"/>
    </row>
    <row r="61828" spans="3:13" ht="12.75" customHeight="1" x14ac:dyDescent="0.2">
      <c r="C61828"/>
      <c r="M61828"/>
    </row>
    <row r="61829" spans="3:13" ht="12.75" customHeight="1" x14ac:dyDescent="0.2">
      <c r="C61829"/>
      <c r="M61829"/>
    </row>
    <row r="61830" spans="3:13" ht="12.75" customHeight="1" x14ac:dyDescent="0.2">
      <c r="C61830"/>
      <c r="M61830"/>
    </row>
    <row r="61831" spans="3:13" ht="12.75" customHeight="1" x14ac:dyDescent="0.2">
      <c r="C61831"/>
      <c r="M61831"/>
    </row>
    <row r="61832" spans="3:13" ht="12.75" customHeight="1" x14ac:dyDescent="0.2">
      <c r="C61832"/>
      <c r="M61832"/>
    </row>
    <row r="61833" spans="3:13" ht="12.75" customHeight="1" x14ac:dyDescent="0.2">
      <c r="C61833"/>
      <c r="M61833"/>
    </row>
    <row r="61834" spans="3:13" ht="12.75" customHeight="1" x14ac:dyDescent="0.2">
      <c r="C61834"/>
      <c r="M61834"/>
    </row>
    <row r="61835" spans="3:13" ht="12.75" customHeight="1" x14ac:dyDescent="0.2">
      <c r="C61835"/>
      <c r="M61835"/>
    </row>
    <row r="61836" spans="3:13" ht="12.75" customHeight="1" x14ac:dyDescent="0.2">
      <c r="C61836"/>
      <c r="M61836"/>
    </row>
    <row r="61837" spans="3:13" ht="12.75" customHeight="1" x14ac:dyDescent="0.2">
      <c r="C61837"/>
      <c r="M61837"/>
    </row>
    <row r="61838" spans="3:13" ht="12.75" customHeight="1" x14ac:dyDescent="0.2">
      <c r="C61838"/>
      <c r="M61838"/>
    </row>
    <row r="61839" spans="3:13" ht="12.75" customHeight="1" x14ac:dyDescent="0.2">
      <c r="C61839"/>
      <c r="M61839"/>
    </row>
    <row r="61840" spans="3:13" ht="12.75" customHeight="1" x14ac:dyDescent="0.2">
      <c r="C61840"/>
      <c r="M61840"/>
    </row>
    <row r="61841" spans="3:13" ht="12.75" customHeight="1" x14ac:dyDescent="0.2">
      <c r="C61841"/>
      <c r="M61841"/>
    </row>
    <row r="61842" spans="3:13" ht="12.75" customHeight="1" x14ac:dyDescent="0.2">
      <c r="C61842"/>
      <c r="M61842"/>
    </row>
    <row r="61843" spans="3:13" ht="12.75" customHeight="1" x14ac:dyDescent="0.2">
      <c r="C61843"/>
      <c r="M61843"/>
    </row>
    <row r="61844" spans="3:13" ht="12.75" customHeight="1" x14ac:dyDescent="0.2">
      <c r="C61844"/>
      <c r="M61844"/>
    </row>
    <row r="61845" spans="3:13" ht="12.75" customHeight="1" x14ac:dyDescent="0.2">
      <c r="C61845"/>
      <c r="M61845"/>
    </row>
    <row r="61846" spans="3:13" ht="12.75" customHeight="1" x14ac:dyDescent="0.2">
      <c r="C61846"/>
      <c r="M61846"/>
    </row>
    <row r="61847" spans="3:13" ht="12.75" customHeight="1" x14ac:dyDescent="0.2">
      <c r="C61847"/>
      <c r="M61847"/>
    </row>
    <row r="61848" spans="3:13" ht="12.75" customHeight="1" x14ac:dyDescent="0.2">
      <c r="C61848"/>
      <c r="M61848"/>
    </row>
    <row r="61849" spans="3:13" ht="12.75" customHeight="1" x14ac:dyDescent="0.2">
      <c r="C61849"/>
      <c r="M61849"/>
    </row>
    <row r="61850" spans="3:13" ht="12.75" customHeight="1" x14ac:dyDescent="0.2">
      <c r="C61850"/>
      <c r="M61850"/>
    </row>
    <row r="61851" spans="3:13" ht="12.75" customHeight="1" x14ac:dyDescent="0.2">
      <c r="C61851"/>
      <c r="M61851"/>
    </row>
    <row r="61852" spans="3:13" ht="12.75" customHeight="1" x14ac:dyDescent="0.2">
      <c r="C61852"/>
      <c r="M61852"/>
    </row>
    <row r="61853" spans="3:13" ht="12.75" customHeight="1" x14ac:dyDescent="0.2">
      <c r="C61853"/>
      <c r="M61853"/>
    </row>
    <row r="61854" spans="3:13" ht="12.75" customHeight="1" x14ac:dyDescent="0.2">
      <c r="C61854"/>
      <c r="M61854"/>
    </row>
    <row r="61855" spans="3:13" ht="12.75" customHeight="1" x14ac:dyDescent="0.2">
      <c r="C61855"/>
      <c r="M61855"/>
    </row>
    <row r="61856" spans="3:13" ht="12.75" customHeight="1" x14ac:dyDescent="0.2">
      <c r="C61856"/>
      <c r="M61856"/>
    </row>
    <row r="61857" spans="3:13" ht="12.75" customHeight="1" x14ac:dyDescent="0.2">
      <c r="C61857"/>
      <c r="M61857"/>
    </row>
    <row r="61858" spans="3:13" ht="12.75" customHeight="1" x14ac:dyDescent="0.2">
      <c r="C61858"/>
      <c r="M61858"/>
    </row>
    <row r="61859" spans="3:13" ht="12.75" customHeight="1" x14ac:dyDescent="0.2">
      <c r="C61859"/>
      <c r="M61859"/>
    </row>
    <row r="61860" spans="3:13" ht="12.75" customHeight="1" x14ac:dyDescent="0.2">
      <c r="C61860"/>
      <c r="M61860"/>
    </row>
    <row r="61861" spans="3:13" ht="12.75" customHeight="1" x14ac:dyDescent="0.2">
      <c r="C61861"/>
      <c r="M61861"/>
    </row>
    <row r="61862" spans="3:13" ht="12.75" customHeight="1" x14ac:dyDescent="0.2">
      <c r="C61862"/>
      <c r="M61862"/>
    </row>
    <row r="61863" spans="3:13" ht="12.75" customHeight="1" x14ac:dyDescent="0.2">
      <c r="C61863"/>
      <c r="M61863"/>
    </row>
    <row r="61864" spans="3:13" ht="12.75" customHeight="1" x14ac:dyDescent="0.2">
      <c r="C61864"/>
      <c r="M61864"/>
    </row>
    <row r="61865" spans="3:13" ht="12.75" customHeight="1" x14ac:dyDescent="0.2">
      <c r="C61865"/>
      <c r="M61865"/>
    </row>
    <row r="61866" spans="3:13" ht="12.75" customHeight="1" x14ac:dyDescent="0.2">
      <c r="C61866"/>
      <c r="M61866"/>
    </row>
    <row r="61867" spans="3:13" ht="12.75" customHeight="1" x14ac:dyDescent="0.2">
      <c r="C61867"/>
      <c r="M61867"/>
    </row>
    <row r="61868" spans="3:13" ht="12.75" customHeight="1" x14ac:dyDescent="0.2">
      <c r="C61868"/>
      <c r="M61868"/>
    </row>
    <row r="61869" spans="3:13" ht="12.75" customHeight="1" x14ac:dyDescent="0.2">
      <c r="C61869"/>
      <c r="M61869"/>
    </row>
    <row r="61870" spans="3:13" ht="12.75" customHeight="1" x14ac:dyDescent="0.2">
      <c r="C61870"/>
      <c r="M61870"/>
    </row>
    <row r="61871" spans="3:13" ht="12.75" customHeight="1" x14ac:dyDescent="0.2">
      <c r="C61871"/>
      <c r="M61871"/>
    </row>
    <row r="61872" spans="3:13" ht="12.75" customHeight="1" x14ac:dyDescent="0.2">
      <c r="C61872"/>
      <c r="M61872"/>
    </row>
    <row r="61873" spans="3:13" ht="12.75" customHeight="1" x14ac:dyDescent="0.2">
      <c r="C61873"/>
      <c r="M61873"/>
    </row>
    <row r="61874" spans="3:13" ht="12.75" customHeight="1" x14ac:dyDescent="0.2">
      <c r="C61874"/>
      <c r="M61874"/>
    </row>
    <row r="61875" spans="3:13" ht="12.75" customHeight="1" x14ac:dyDescent="0.2">
      <c r="C61875"/>
      <c r="M61875"/>
    </row>
    <row r="61876" spans="3:13" ht="12.75" customHeight="1" x14ac:dyDescent="0.2">
      <c r="C61876"/>
      <c r="M61876"/>
    </row>
    <row r="61877" spans="3:13" ht="12.75" customHeight="1" x14ac:dyDescent="0.2">
      <c r="C61877"/>
      <c r="M61877"/>
    </row>
    <row r="61878" spans="3:13" ht="12.75" customHeight="1" x14ac:dyDescent="0.2">
      <c r="C61878"/>
      <c r="M61878"/>
    </row>
    <row r="61879" spans="3:13" ht="12.75" customHeight="1" x14ac:dyDescent="0.2">
      <c r="C61879"/>
      <c r="M61879"/>
    </row>
    <row r="61880" spans="3:13" ht="12.75" customHeight="1" x14ac:dyDescent="0.2">
      <c r="C61880"/>
      <c r="M61880"/>
    </row>
    <row r="61881" spans="3:13" ht="12.75" customHeight="1" x14ac:dyDescent="0.2">
      <c r="C61881"/>
      <c r="M61881"/>
    </row>
    <row r="61882" spans="3:13" ht="12.75" customHeight="1" x14ac:dyDescent="0.2">
      <c r="C61882"/>
      <c r="M61882"/>
    </row>
    <row r="61883" spans="3:13" ht="12.75" customHeight="1" x14ac:dyDescent="0.2">
      <c r="C61883"/>
      <c r="M61883"/>
    </row>
    <row r="61884" spans="3:13" ht="12.75" customHeight="1" x14ac:dyDescent="0.2">
      <c r="C61884"/>
      <c r="M61884"/>
    </row>
    <row r="61885" spans="3:13" ht="12.75" customHeight="1" x14ac:dyDescent="0.2">
      <c r="C61885"/>
      <c r="M61885"/>
    </row>
    <row r="61886" spans="3:13" ht="12.75" customHeight="1" x14ac:dyDescent="0.2">
      <c r="C61886"/>
      <c r="M61886"/>
    </row>
    <row r="61887" spans="3:13" ht="12.75" customHeight="1" x14ac:dyDescent="0.2">
      <c r="C61887"/>
      <c r="M61887"/>
    </row>
    <row r="61888" spans="3:13" ht="12.75" customHeight="1" x14ac:dyDescent="0.2">
      <c r="C61888"/>
      <c r="M61888"/>
    </row>
    <row r="61889" spans="3:13" ht="12.75" customHeight="1" x14ac:dyDescent="0.2">
      <c r="C61889"/>
      <c r="M61889"/>
    </row>
    <row r="61890" spans="3:13" ht="12.75" customHeight="1" x14ac:dyDescent="0.2">
      <c r="C61890"/>
      <c r="M61890"/>
    </row>
    <row r="61891" spans="3:13" ht="12.75" customHeight="1" x14ac:dyDescent="0.2">
      <c r="C61891"/>
      <c r="M61891"/>
    </row>
    <row r="61892" spans="3:13" ht="12.75" customHeight="1" x14ac:dyDescent="0.2">
      <c r="C61892"/>
      <c r="M61892"/>
    </row>
    <row r="61893" spans="3:13" ht="12.75" customHeight="1" x14ac:dyDescent="0.2">
      <c r="C61893"/>
      <c r="M61893"/>
    </row>
    <row r="61894" spans="3:13" ht="12.75" customHeight="1" x14ac:dyDescent="0.2">
      <c r="C61894"/>
      <c r="M61894"/>
    </row>
    <row r="61895" spans="3:13" ht="12.75" customHeight="1" x14ac:dyDescent="0.2">
      <c r="C61895"/>
      <c r="M61895"/>
    </row>
    <row r="61896" spans="3:13" ht="12.75" customHeight="1" x14ac:dyDescent="0.2">
      <c r="C61896"/>
      <c r="M61896"/>
    </row>
    <row r="61897" spans="3:13" ht="12.75" customHeight="1" x14ac:dyDescent="0.2">
      <c r="C61897"/>
      <c r="M61897"/>
    </row>
    <row r="61898" spans="3:13" ht="12.75" customHeight="1" x14ac:dyDescent="0.2">
      <c r="C61898"/>
      <c r="M61898"/>
    </row>
    <row r="61899" spans="3:13" ht="12.75" customHeight="1" x14ac:dyDescent="0.2">
      <c r="C61899"/>
      <c r="M61899"/>
    </row>
    <row r="61900" spans="3:13" ht="12.75" customHeight="1" x14ac:dyDescent="0.2">
      <c r="C61900"/>
      <c r="M61900"/>
    </row>
    <row r="61901" spans="3:13" ht="12.75" customHeight="1" x14ac:dyDescent="0.2">
      <c r="C61901"/>
      <c r="M61901"/>
    </row>
    <row r="61902" spans="3:13" ht="12.75" customHeight="1" x14ac:dyDescent="0.2">
      <c r="C61902"/>
      <c r="M61902"/>
    </row>
    <row r="61903" spans="3:13" ht="12.75" customHeight="1" x14ac:dyDescent="0.2">
      <c r="C61903"/>
      <c r="M61903"/>
    </row>
    <row r="61904" spans="3:13" ht="12.75" customHeight="1" x14ac:dyDescent="0.2">
      <c r="C61904"/>
      <c r="M61904"/>
    </row>
    <row r="61905" spans="3:13" ht="12.75" customHeight="1" x14ac:dyDescent="0.2">
      <c r="C61905"/>
      <c r="M61905"/>
    </row>
    <row r="61906" spans="3:13" ht="12.75" customHeight="1" x14ac:dyDescent="0.2">
      <c r="C61906"/>
      <c r="M61906"/>
    </row>
    <row r="61907" spans="3:13" ht="12.75" customHeight="1" x14ac:dyDescent="0.2">
      <c r="C61907"/>
      <c r="M61907"/>
    </row>
    <row r="61908" spans="3:13" ht="12.75" customHeight="1" x14ac:dyDescent="0.2">
      <c r="C61908"/>
      <c r="M61908"/>
    </row>
    <row r="61909" spans="3:13" ht="12.75" customHeight="1" x14ac:dyDescent="0.2">
      <c r="C61909"/>
      <c r="M61909"/>
    </row>
    <row r="61910" spans="3:13" ht="12.75" customHeight="1" x14ac:dyDescent="0.2">
      <c r="C61910"/>
      <c r="M61910"/>
    </row>
    <row r="61911" spans="3:13" ht="12.75" customHeight="1" x14ac:dyDescent="0.2">
      <c r="C61911"/>
      <c r="M61911"/>
    </row>
    <row r="61912" spans="3:13" ht="12.75" customHeight="1" x14ac:dyDescent="0.2">
      <c r="C61912"/>
      <c r="M61912"/>
    </row>
    <row r="61913" spans="3:13" ht="12.75" customHeight="1" x14ac:dyDescent="0.2">
      <c r="C61913"/>
      <c r="M61913"/>
    </row>
    <row r="61914" spans="3:13" ht="12.75" customHeight="1" x14ac:dyDescent="0.2">
      <c r="C61914"/>
      <c r="M61914"/>
    </row>
    <row r="61915" spans="3:13" ht="12.75" customHeight="1" x14ac:dyDescent="0.2">
      <c r="C61915"/>
      <c r="M61915"/>
    </row>
    <row r="61916" spans="3:13" ht="12.75" customHeight="1" x14ac:dyDescent="0.2">
      <c r="C61916"/>
      <c r="M61916"/>
    </row>
    <row r="61917" spans="3:13" ht="12.75" customHeight="1" x14ac:dyDescent="0.2">
      <c r="C61917"/>
      <c r="M61917"/>
    </row>
    <row r="61918" spans="3:13" ht="12.75" customHeight="1" x14ac:dyDescent="0.2">
      <c r="C61918"/>
      <c r="M61918"/>
    </row>
    <row r="61919" spans="3:13" ht="12.75" customHeight="1" x14ac:dyDescent="0.2">
      <c r="C61919"/>
      <c r="M61919"/>
    </row>
    <row r="61920" spans="3:13" ht="12.75" customHeight="1" x14ac:dyDescent="0.2">
      <c r="C61920"/>
      <c r="M61920"/>
    </row>
    <row r="61921" spans="3:13" ht="12.75" customHeight="1" x14ac:dyDescent="0.2">
      <c r="C61921"/>
      <c r="M61921"/>
    </row>
    <row r="61922" spans="3:13" ht="12.75" customHeight="1" x14ac:dyDescent="0.2">
      <c r="C61922"/>
      <c r="M61922"/>
    </row>
    <row r="61923" spans="3:13" ht="12.75" customHeight="1" x14ac:dyDescent="0.2">
      <c r="C61923"/>
      <c r="M61923"/>
    </row>
    <row r="61924" spans="3:13" ht="12.75" customHeight="1" x14ac:dyDescent="0.2">
      <c r="C61924"/>
      <c r="M61924"/>
    </row>
    <row r="61925" spans="3:13" ht="12.75" customHeight="1" x14ac:dyDescent="0.2">
      <c r="C61925"/>
      <c r="M61925"/>
    </row>
    <row r="61926" spans="3:13" ht="12.75" customHeight="1" x14ac:dyDescent="0.2">
      <c r="C61926"/>
      <c r="M61926"/>
    </row>
    <row r="61927" spans="3:13" ht="12.75" customHeight="1" x14ac:dyDescent="0.2">
      <c r="C61927"/>
      <c r="M61927"/>
    </row>
    <row r="61928" spans="3:13" ht="12.75" customHeight="1" x14ac:dyDescent="0.2">
      <c r="C61928"/>
      <c r="M61928"/>
    </row>
    <row r="61929" spans="3:13" ht="12.75" customHeight="1" x14ac:dyDescent="0.2">
      <c r="C61929"/>
      <c r="M61929"/>
    </row>
    <row r="61930" spans="3:13" ht="12.75" customHeight="1" x14ac:dyDescent="0.2">
      <c r="C61930"/>
      <c r="M61930"/>
    </row>
    <row r="61931" spans="3:13" ht="12.75" customHeight="1" x14ac:dyDescent="0.2">
      <c r="C61931"/>
      <c r="M61931"/>
    </row>
    <row r="61932" spans="3:13" ht="12.75" customHeight="1" x14ac:dyDescent="0.2">
      <c r="C61932"/>
      <c r="M61932"/>
    </row>
    <row r="61933" spans="3:13" ht="12.75" customHeight="1" x14ac:dyDescent="0.2">
      <c r="C61933"/>
      <c r="M61933"/>
    </row>
    <row r="61934" spans="3:13" ht="12.75" customHeight="1" x14ac:dyDescent="0.2">
      <c r="C61934"/>
      <c r="M61934"/>
    </row>
    <row r="61935" spans="3:13" ht="12.75" customHeight="1" x14ac:dyDescent="0.2">
      <c r="C61935"/>
      <c r="M61935"/>
    </row>
    <row r="61936" spans="3:13" ht="12.75" customHeight="1" x14ac:dyDescent="0.2">
      <c r="C61936"/>
      <c r="M61936"/>
    </row>
    <row r="61937" spans="3:13" ht="12.75" customHeight="1" x14ac:dyDescent="0.2">
      <c r="C61937"/>
      <c r="M61937"/>
    </row>
    <row r="61938" spans="3:13" ht="12.75" customHeight="1" x14ac:dyDescent="0.2">
      <c r="C61938"/>
      <c r="M61938"/>
    </row>
    <row r="61939" spans="3:13" ht="12.75" customHeight="1" x14ac:dyDescent="0.2">
      <c r="C61939"/>
      <c r="M61939"/>
    </row>
    <row r="61940" spans="3:13" ht="12.75" customHeight="1" x14ac:dyDescent="0.2">
      <c r="C61940"/>
      <c r="M61940"/>
    </row>
    <row r="61941" spans="3:13" ht="12.75" customHeight="1" x14ac:dyDescent="0.2">
      <c r="C61941"/>
      <c r="M61941"/>
    </row>
    <row r="61942" spans="3:13" ht="12.75" customHeight="1" x14ac:dyDescent="0.2">
      <c r="C61942"/>
      <c r="M61942"/>
    </row>
    <row r="61943" spans="3:13" ht="12.75" customHeight="1" x14ac:dyDescent="0.2">
      <c r="C61943"/>
      <c r="M61943"/>
    </row>
    <row r="61944" spans="3:13" ht="12.75" customHeight="1" x14ac:dyDescent="0.2">
      <c r="C61944"/>
      <c r="M61944"/>
    </row>
    <row r="61945" spans="3:13" ht="12.75" customHeight="1" x14ac:dyDescent="0.2">
      <c r="C61945"/>
      <c r="M61945"/>
    </row>
    <row r="61946" spans="3:13" ht="12.75" customHeight="1" x14ac:dyDescent="0.2">
      <c r="C61946"/>
      <c r="M61946"/>
    </row>
    <row r="61947" spans="3:13" ht="12.75" customHeight="1" x14ac:dyDescent="0.2">
      <c r="C61947"/>
      <c r="M61947"/>
    </row>
    <row r="61948" spans="3:13" ht="12.75" customHeight="1" x14ac:dyDescent="0.2">
      <c r="C61948"/>
      <c r="M61948"/>
    </row>
    <row r="61949" spans="3:13" ht="12.75" customHeight="1" x14ac:dyDescent="0.2">
      <c r="C61949"/>
      <c r="M61949"/>
    </row>
    <row r="61950" spans="3:13" ht="12.75" customHeight="1" x14ac:dyDescent="0.2">
      <c r="C61950"/>
      <c r="M61950"/>
    </row>
    <row r="61951" spans="3:13" ht="12.75" customHeight="1" x14ac:dyDescent="0.2">
      <c r="C61951"/>
      <c r="M61951"/>
    </row>
    <row r="61952" spans="3:13" ht="12.75" customHeight="1" x14ac:dyDescent="0.2">
      <c r="C61952"/>
      <c r="M61952"/>
    </row>
    <row r="61953" spans="3:13" ht="12.75" customHeight="1" x14ac:dyDescent="0.2">
      <c r="C61953"/>
      <c r="M61953"/>
    </row>
    <row r="61954" spans="3:13" ht="12.75" customHeight="1" x14ac:dyDescent="0.2">
      <c r="C61954"/>
      <c r="M61954"/>
    </row>
    <row r="61955" spans="3:13" ht="12.75" customHeight="1" x14ac:dyDescent="0.2">
      <c r="C61955"/>
      <c r="M61955"/>
    </row>
    <row r="61956" spans="3:13" ht="12.75" customHeight="1" x14ac:dyDescent="0.2">
      <c r="C61956"/>
      <c r="M61956"/>
    </row>
    <row r="61957" spans="3:13" ht="12.75" customHeight="1" x14ac:dyDescent="0.2">
      <c r="C61957"/>
      <c r="M61957"/>
    </row>
    <row r="61958" spans="3:13" ht="12.75" customHeight="1" x14ac:dyDescent="0.2">
      <c r="C61958"/>
      <c r="M61958"/>
    </row>
    <row r="61959" spans="3:13" ht="12.75" customHeight="1" x14ac:dyDescent="0.2">
      <c r="C61959"/>
      <c r="M61959"/>
    </row>
    <row r="61960" spans="3:13" ht="12.75" customHeight="1" x14ac:dyDescent="0.2">
      <c r="C61960"/>
      <c r="M61960"/>
    </row>
    <row r="61961" spans="3:13" ht="12.75" customHeight="1" x14ac:dyDescent="0.2">
      <c r="C61961"/>
      <c r="M61961"/>
    </row>
    <row r="61962" spans="3:13" ht="12.75" customHeight="1" x14ac:dyDescent="0.2">
      <c r="C61962"/>
      <c r="M61962"/>
    </row>
    <row r="61963" spans="3:13" ht="12.75" customHeight="1" x14ac:dyDescent="0.2">
      <c r="C61963"/>
      <c r="M61963"/>
    </row>
    <row r="61964" spans="3:13" ht="12.75" customHeight="1" x14ac:dyDescent="0.2">
      <c r="C61964"/>
      <c r="M61964"/>
    </row>
    <row r="61965" spans="3:13" ht="12.75" customHeight="1" x14ac:dyDescent="0.2">
      <c r="C61965"/>
      <c r="M61965"/>
    </row>
    <row r="61966" spans="3:13" ht="12.75" customHeight="1" x14ac:dyDescent="0.2">
      <c r="C61966"/>
      <c r="M61966"/>
    </row>
    <row r="61967" spans="3:13" ht="12.75" customHeight="1" x14ac:dyDescent="0.2">
      <c r="C61967"/>
      <c r="M61967"/>
    </row>
    <row r="61968" spans="3:13" ht="12.75" customHeight="1" x14ac:dyDescent="0.2">
      <c r="C61968"/>
      <c r="M61968"/>
    </row>
    <row r="61969" spans="3:13" ht="12.75" customHeight="1" x14ac:dyDescent="0.2">
      <c r="C61969"/>
      <c r="M61969"/>
    </row>
    <row r="61970" spans="3:13" ht="12.75" customHeight="1" x14ac:dyDescent="0.2">
      <c r="C61970"/>
      <c r="M61970"/>
    </row>
    <row r="61971" spans="3:13" ht="12.75" customHeight="1" x14ac:dyDescent="0.2">
      <c r="C61971"/>
      <c r="M61971"/>
    </row>
    <row r="61972" spans="3:13" ht="12.75" customHeight="1" x14ac:dyDescent="0.2">
      <c r="C61972"/>
      <c r="M61972"/>
    </row>
    <row r="61973" spans="3:13" ht="12.75" customHeight="1" x14ac:dyDescent="0.2">
      <c r="C61973"/>
      <c r="M61973"/>
    </row>
    <row r="61974" spans="3:13" ht="12.75" customHeight="1" x14ac:dyDescent="0.2">
      <c r="C61974"/>
      <c r="M61974"/>
    </row>
    <row r="61975" spans="3:13" ht="12.75" customHeight="1" x14ac:dyDescent="0.2">
      <c r="C61975"/>
      <c r="M61975"/>
    </row>
    <row r="61976" spans="3:13" ht="12.75" customHeight="1" x14ac:dyDescent="0.2">
      <c r="C61976"/>
      <c r="M61976"/>
    </row>
    <row r="61977" spans="3:13" ht="12.75" customHeight="1" x14ac:dyDescent="0.2">
      <c r="C61977"/>
      <c r="M61977"/>
    </row>
    <row r="61978" spans="3:13" ht="12.75" customHeight="1" x14ac:dyDescent="0.2">
      <c r="C61978"/>
      <c r="M61978"/>
    </row>
    <row r="61979" spans="3:13" ht="12.75" customHeight="1" x14ac:dyDescent="0.2">
      <c r="C61979"/>
      <c r="M61979"/>
    </row>
    <row r="61980" spans="3:13" ht="12.75" customHeight="1" x14ac:dyDescent="0.2">
      <c r="C61980"/>
      <c r="M61980"/>
    </row>
    <row r="61981" spans="3:13" ht="12.75" customHeight="1" x14ac:dyDescent="0.2">
      <c r="C61981"/>
      <c r="M61981"/>
    </row>
    <row r="61982" spans="3:13" ht="12.75" customHeight="1" x14ac:dyDescent="0.2">
      <c r="C61982"/>
      <c r="M61982"/>
    </row>
    <row r="61983" spans="3:13" ht="12.75" customHeight="1" x14ac:dyDescent="0.2">
      <c r="C61983"/>
      <c r="M61983"/>
    </row>
    <row r="61984" spans="3:13" ht="12.75" customHeight="1" x14ac:dyDescent="0.2">
      <c r="C61984"/>
      <c r="M61984"/>
    </row>
    <row r="61985" spans="3:13" ht="12.75" customHeight="1" x14ac:dyDescent="0.2">
      <c r="C61985"/>
      <c r="M61985"/>
    </row>
    <row r="61986" spans="3:13" ht="12.75" customHeight="1" x14ac:dyDescent="0.2">
      <c r="C61986"/>
      <c r="M61986"/>
    </row>
    <row r="61987" spans="3:13" ht="12.75" customHeight="1" x14ac:dyDescent="0.2">
      <c r="C61987"/>
      <c r="M61987"/>
    </row>
    <row r="61988" spans="3:13" ht="12.75" customHeight="1" x14ac:dyDescent="0.2">
      <c r="C61988"/>
      <c r="M61988"/>
    </row>
    <row r="61989" spans="3:13" ht="12.75" customHeight="1" x14ac:dyDescent="0.2">
      <c r="C61989"/>
      <c r="M61989"/>
    </row>
    <row r="61990" spans="3:13" ht="12.75" customHeight="1" x14ac:dyDescent="0.2">
      <c r="C61990"/>
      <c r="M61990"/>
    </row>
    <row r="61991" spans="3:13" ht="12.75" customHeight="1" x14ac:dyDescent="0.2">
      <c r="C61991"/>
      <c r="M61991"/>
    </row>
    <row r="61992" spans="3:13" ht="12.75" customHeight="1" x14ac:dyDescent="0.2">
      <c r="C61992"/>
      <c r="M61992"/>
    </row>
    <row r="61993" spans="3:13" ht="12.75" customHeight="1" x14ac:dyDescent="0.2">
      <c r="C61993"/>
      <c r="M61993"/>
    </row>
    <row r="61994" spans="3:13" ht="12.75" customHeight="1" x14ac:dyDescent="0.2">
      <c r="C61994"/>
      <c r="M61994"/>
    </row>
    <row r="61995" spans="3:13" ht="12.75" customHeight="1" x14ac:dyDescent="0.2">
      <c r="C61995"/>
      <c r="M61995"/>
    </row>
    <row r="61996" spans="3:13" ht="12.75" customHeight="1" x14ac:dyDescent="0.2">
      <c r="C61996"/>
      <c r="M61996"/>
    </row>
    <row r="61997" spans="3:13" ht="12.75" customHeight="1" x14ac:dyDescent="0.2">
      <c r="C61997"/>
      <c r="M61997"/>
    </row>
    <row r="61998" spans="3:13" ht="12.75" customHeight="1" x14ac:dyDescent="0.2">
      <c r="C61998"/>
      <c r="M61998"/>
    </row>
    <row r="61999" spans="3:13" ht="12.75" customHeight="1" x14ac:dyDescent="0.2">
      <c r="C61999"/>
      <c r="M61999"/>
    </row>
    <row r="62000" spans="3:13" ht="12.75" customHeight="1" x14ac:dyDescent="0.2">
      <c r="C62000"/>
      <c r="M62000"/>
    </row>
    <row r="62001" spans="3:13" ht="12.75" customHeight="1" x14ac:dyDescent="0.2">
      <c r="C62001"/>
      <c r="M62001"/>
    </row>
    <row r="62002" spans="3:13" ht="12.75" customHeight="1" x14ac:dyDescent="0.2">
      <c r="C62002"/>
      <c r="M62002"/>
    </row>
    <row r="62003" spans="3:13" ht="12.75" customHeight="1" x14ac:dyDescent="0.2">
      <c r="C62003"/>
      <c r="M62003"/>
    </row>
    <row r="62004" spans="3:13" ht="12.75" customHeight="1" x14ac:dyDescent="0.2">
      <c r="C62004"/>
      <c r="M62004"/>
    </row>
    <row r="62005" spans="3:13" ht="12.75" customHeight="1" x14ac:dyDescent="0.2">
      <c r="C62005"/>
      <c r="M62005"/>
    </row>
    <row r="62006" spans="3:13" ht="12.75" customHeight="1" x14ac:dyDescent="0.2">
      <c r="C62006"/>
      <c r="M62006"/>
    </row>
    <row r="62007" spans="3:13" ht="12.75" customHeight="1" x14ac:dyDescent="0.2">
      <c r="C62007"/>
      <c r="M62007"/>
    </row>
    <row r="62008" spans="3:13" ht="12.75" customHeight="1" x14ac:dyDescent="0.2">
      <c r="C62008"/>
      <c r="M62008"/>
    </row>
    <row r="62009" spans="3:13" ht="12.75" customHeight="1" x14ac:dyDescent="0.2">
      <c r="C62009"/>
      <c r="M62009"/>
    </row>
    <row r="62010" spans="3:13" ht="12.75" customHeight="1" x14ac:dyDescent="0.2">
      <c r="C62010"/>
      <c r="M62010"/>
    </row>
    <row r="62011" spans="3:13" ht="12.75" customHeight="1" x14ac:dyDescent="0.2">
      <c r="C62011"/>
      <c r="M62011"/>
    </row>
    <row r="62012" spans="3:13" ht="12.75" customHeight="1" x14ac:dyDescent="0.2">
      <c r="C62012"/>
      <c r="M62012"/>
    </row>
    <row r="62013" spans="3:13" ht="12.75" customHeight="1" x14ac:dyDescent="0.2">
      <c r="C62013"/>
      <c r="M62013"/>
    </row>
    <row r="62014" spans="3:13" ht="12.75" customHeight="1" x14ac:dyDescent="0.2">
      <c r="C62014"/>
      <c r="M62014"/>
    </row>
    <row r="62015" spans="3:13" ht="12.75" customHeight="1" x14ac:dyDescent="0.2">
      <c r="C62015"/>
      <c r="M62015"/>
    </row>
    <row r="62016" spans="3:13" ht="12.75" customHeight="1" x14ac:dyDescent="0.2">
      <c r="C62016"/>
      <c r="M62016"/>
    </row>
    <row r="62017" spans="3:13" ht="12.75" customHeight="1" x14ac:dyDescent="0.2">
      <c r="C62017"/>
      <c r="M62017"/>
    </row>
    <row r="62018" spans="3:13" ht="12.75" customHeight="1" x14ac:dyDescent="0.2">
      <c r="C62018"/>
      <c r="M62018"/>
    </row>
    <row r="62019" spans="3:13" ht="12.75" customHeight="1" x14ac:dyDescent="0.2">
      <c r="C62019"/>
      <c r="M62019"/>
    </row>
    <row r="62020" spans="3:13" ht="12.75" customHeight="1" x14ac:dyDescent="0.2">
      <c r="C62020"/>
      <c r="M62020"/>
    </row>
    <row r="62021" spans="3:13" ht="12.75" customHeight="1" x14ac:dyDescent="0.2">
      <c r="C62021"/>
      <c r="M62021"/>
    </row>
    <row r="62022" spans="3:13" ht="12.75" customHeight="1" x14ac:dyDescent="0.2">
      <c r="C62022"/>
      <c r="M62022"/>
    </row>
    <row r="62023" spans="3:13" ht="12.75" customHeight="1" x14ac:dyDescent="0.2">
      <c r="C62023"/>
      <c r="M62023"/>
    </row>
    <row r="62024" spans="3:13" ht="12.75" customHeight="1" x14ac:dyDescent="0.2">
      <c r="C62024"/>
      <c r="M62024"/>
    </row>
    <row r="62025" spans="3:13" ht="12.75" customHeight="1" x14ac:dyDescent="0.2">
      <c r="C62025"/>
      <c r="M62025"/>
    </row>
    <row r="62026" spans="3:13" ht="12.75" customHeight="1" x14ac:dyDescent="0.2">
      <c r="C62026"/>
      <c r="M62026"/>
    </row>
    <row r="62027" spans="3:13" ht="12.75" customHeight="1" x14ac:dyDescent="0.2">
      <c r="C62027"/>
      <c r="M62027"/>
    </row>
    <row r="62028" spans="3:13" ht="12.75" customHeight="1" x14ac:dyDescent="0.2">
      <c r="C62028"/>
      <c r="M62028"/>
    </row>
    <row r="62029" spans="3:13" ht="12.75" customHeight="1" x14ac:dyDescent="0.2">
      <c r="C62029"/>
      <c r="M62029"/>
    </row>
    <row r="62030" spans="3:13" ht="12.75" customHeight="1" x14ac:dyDescent="0.2">
      <c r="C62030"/>
      <c r="M62030"/>
    </row>
    <row r="62031" spans="3:13" ht="12.75" customHeight="1" x14ac:dyDescent="0.2">
      <c r="C62031"/>
      <c r="M62031"/>
    </row>
    <row r="62032" spans="3:13" ht="12.75" customHeight="1" x14ac:dyDescent="0.2">
      <c r="C62032"/>
      <c r="M62032"/>
    </row>
    <row r="62033" spans="3:13" ht="12.75" customHeight="1" x14ac:dyDescent="0.2">
      <c r="C62033"/>
      <c r="M62033"/>
    </row>
    <row r="62034" spans="3:13" ht="12.75" customHeight="1" x14ac:dyDescent="0.2">
      <c r="C62034"/>
      <c r="M62034"/>
    </row>
    <row r="62035" spans="3:13" ht="12.75" customHeight="1" x14ac:dyDescent="0.2">
      <c r="C62035"/>
      <c r="M62035"/>
    </row>
    <row r="62036" spans="3:13" ht="12.75" customHeight="1" x14ac:dyDescent="0.2">
      <c r="C62036"/>
      <c r="M62036"/>
    </row>
    <row r="62037" spans="3:13" ht="12.75" customHeight="1" x14ac:dyDescent="0.2">
      <c r="C62037"/>
      <c r="M62037"/>
    </row>
    <row r="62038" spans="3:13" ht="12.75" customHeight="1" x14ac:dyDescent="0.2">
      <c r="C62038"/>
      <c r="M62038"/>
    </row>
    <row r="62039" spans="3:13" ht="12.75" customHeight="1" x14ac:dyDescent="0.2">
      <c r="C62039"/>
      <c r="M62039"/>
    </row>
    <row r="62040" spans="3:13" ht="12.75" customHeight="1" x14ac:dyDescent="0.2">
      <c r="C62040"/>
      <c r="M62040"/>
    </row>
    <row r="62041" spans="3:13" ht="12.75" customHeight="1" x14ac:dyDescent="0.2">
      <c r="C62041"/>
      <c r="M62041"/>
    </row>
    <row r="62042" spans="3:13" ht="12.75" customHeight="1" x14ac:dyDescent="0.2">
      <c r="C62042"/>
      <c r="M62042"/>
    </row>
    <row r="62043" spans="3:13" ht="12.75" customHeight="1" x14ac:dyDescent="0.2">
      <c r="C62043"/>
      <c r="M62043"/>
    </row>
    <row r="62044" spans="3:13" ht="12.75" customHeight="1" x14ac:dyDescent="0.2">
      <c r="C62044"/>
      <c r="M62044"/>
    </row>
    <row r="62045" spans="3:13" ht="12.75" customHeight="1" x14ac:dyDescent="0.2">
      <c r="C62045"/>
      <c r="M62045"/>
    </row>
    <row r="62046" spans="3:13" ht="12.75" customHeight="1" x14ac:dyDescent="0.2">
      <c r="C62046"/>
      <c r="M62046"/>
    </row>
    <row r="62047" spans="3:13" ht="12.75" customHeight="1" x14ac:dyDescent="0.2">
      <c r="C62047"/>
      <c r="M62047"/>
    </row>
    <row r="62048" spans="3:13" ht="12.75" customHeight="1" x14ac:dyDescent="0.2">
      <c r="C62048"/>
      <c r="M62048"/>
    </row>
    <row r="62049" spans="3:13" ht="12.75" customHeight="1" x14ac:dyDescent="0.2">
      <c r="C62049"/>
      <c r="M62049"/>
    </row>
    <row r="62050" spans="3:13" ht="12.75" customHeight="1" x14ac:dyDescent="0.2">
      <c r="C62050"/>
      <c r="M62050"/>
    </row>
    <row r="62051" spans="3:13" ht="12.75" customHeight="1" x14ac:dyDescent="0.2">
      <c r="C62051"/>
      <c r="M62051"/>
    </row>
    <row r="62052" spans="3:13" ht="12.75" customHeight="1" x14ac:dyDescent="0.2">
      <c r="C62052"/>
      <c r="M62052"/>
    </row>
    <row r="62053" spans="3:13" ht="12.75" customHeight="1" x14ac:dyDescent="0.2">
      <c r="C62053"/>
      <c r="M62053"/>
    </row>
    <row r="62054" spans="3:13" ht="12.75" customHeight="1" x14ac:dyDescent="0.2">
      <c r="C62054"/>
      <c r="M62054"/>
    </row>
    <row r="62055" spans="3:13" ht="12.75" customHeight="1" x14ac:dyDescent="0.2">
      <c r="C62055"/>
      <c r="M62055"/>
    </row>
    <row r="62056" spans="3:13" ht="12.75" customHeight="1" x14ac:dyDescent="0.2">
      <c r="C62056"/>
      <c r="M62056"/>
    </row>
    <row r="62057" spans="3:13" ht="12.75" customHeight="1" x14ac:dyDescent="0.2">
      <c r="C62057"/>
      <c r="M62057"/>
    </row>
    <row r="62058" spans="3:13" ht="12.75" customHeight="1" x14ac:dyDescent="0.2">
      <c r="C62058"/>
      <c r="M62058"/>
    </row>
    <row r="62059" spans="3:13" ht="12.75" customHeight="1" x14ac:dyDescent="0.2">
      <c r="C62059"/>
      <c r="M62059"/>
    </row>
    <row r="62060" spans="3:13" ht="12.75" customHeight="1" x14ac:dyDescent="0.2">
      <c r="C62060"/>
      <c r="M62060"/>
    </row>
    <row r="62061" spans="3:13" ht="12.75" customHeight="1" x14ac:dyDescent="0.2">
      <c r="C62061"/>
      <c r="M62061"/>
    </row>
    <row r="62062" spans="3:13" ht="12.75" customHeight="1" x14ac:dyDescent="0.2">
      <c r="C62062"/>
      <c r="M62062"/>
    </row>
    <row r="62063" spans="3:13" ht="12.75" customHeight="1" x14ac:dyDescent="0.2">
      <c r="C62063"/>
      <c r="M62063"/>
    </row>
    <row r="62064" spans="3:13" ht="12.75" customHeight="1" x14ac:dyDescent="0.2">
      <c r="C62064"/>
      <c r="M62064"/>
    </row>
    <row r="62065" spans="3:13" ht="12.75" customHeight="1" x14ac:dyDescent="0.2">
      <c r="C62065"/>
      <c r="M62065"/>
    </row>
    <row r="62066" spans="3:13" ht="12.75" customHeight="1" x14ac:dyDescent="0.2">
      <c r="C62066"/>
      <c r="M62066"/>
    </row>
    <row r="62067" spans="3:13" ht="12.75" customHeight="1" x14ac:dyDescent="0.2">
      <c r="C62067"/>
      <c r="M62067"/>
    </row>
    <row r="62068" spans="3:13" ht="12.75" customHeight="1" x14ac:dyDescent="0.2">
      <c r="C62068"/>
      <c r="M62068"/>
    </row>
    <row r="62069" spans="3:13" ht="12.75" customHeight="1" x14ac:dyDescent="0.2">
      <c r="C62069"/>
      <c r="M62069"/>
    </row>
    <row r="62070" spans="3:13" ht="12.75" customHeight="1" x14ac:dyDescent="0.2">
      <c r="C62070"/>
      <c r="M62070"/>
    </row>
    <row r="62071" spans="3:13" ht="12.75" customHeight="1" x14ac:dyDescent="0.2">
      <c r="C62071"/>
      <c r="M62071"/>
    </row>
    <row r="62072" spans="3:13" ht="12.75" customHeight="1" x14ac:dyDescent="0.2">
      <c r="C62072"/>
      <c r="M62072"/>
    </row>
    <row r="62073" spans="3:13" ht="12.75" customHeight="1" x14ac:dyDescent="0.2">
      <c r="C62073"/>
      <c r="M62073"/>
    </row>
    <row r="62074" spans="3:13" ht="12.75" customHeight="1" x14ac:dyDescent="0.2">
      <c r="C62074"/>
      <c r="M62074"/>
    </row>
    <row r="62075" spans="3:13" ht="12.75" customHeight="1" x14ac:dyDescent="0.2">
      <c r="C62075"/>
      <c r="M62075"/>
    </row>
    <row r="62076" spans="3:13" ht="12.75" customHeight="1" x14ac:dyDescent="0.2">
      <c r="C62076"/>
      <c r="M62076"/>
    </row>
    <row r="62077" spans="3:13" ht="12.75" customHeight="1" x14ac:dyDescent="0.2">
      <c r="C62077"/>
      <c r="M62077"/>
    </row>
    <row r="62078" spans="3:13" ht="12.75" customHeight="1" x14ac:dyDescent="0.2">
      <c r="C62078"/>
      <c r="M62078"/>
    </row>
    <row r="62079" spans="3:13" ht="12.75" customHeight="1" x14ac:dyDescent="0.2">
      <c r="C62079"/>
      <c r="M62079"/>
    </row>
    <row r="62080" spans="3:13" ht="12.75" customHeight="1" x14ac:dyDescent="0.2">
      <c r="C62080"/>
      <c r="M62080"/>
    </row>
    <row r="62081" spans="3:13" ht="12.75" customHeight="1" x14ac:dyDescent="0.2">
      <c r="C62081"/>
      <c r="M62081"/>
    </row>
    <row r="62082" spans="3:13" ht="12.75" customHeight="1" x14ac:dyDescent="0.2">
      <c r="C62082"/>
      <c r="M62082"/>
    </row>
    <row r="62083" spans="3:13" ht="12.75" customHeight="1" x14ac:dyDescent="0.2">
      <c r="C62083"/>
      <c r="M62083"/>
    </row>
    <row r="62084" spans="3:13" ht="12.75" customHeight="1" x14ac:dyDescent="0.2">
      <c r="C62084"/>
      <c r="M62084"/>
    </row>
    <row r="62085" spans="3:13" ht="12.75" customHeight="1" x14ac:dyDescent="0.2">
      <c r="C62085"/>
      <c r="M62085"/>
    </row>
    <row r="62086" spans="3:13" ht="12.75" customHeight="1" x14ac:dyDescent="0.2">
      <c r="C62086"/>
      <c r="M62086"/>
    </row>
    <row r="62087" spans="3:13" ht="12.75" customHeight="1" x14ac:dyDescent="0.2">
      <c r="C62087"/>
      <c r="M62087"/>
    </row>
    <row r="62088" spans="3:13" ht="12.75" customHeight="1" x14ac:dyDescent="0.2">
      <c r="C62088"/>
      <c r="M62088"/>
    </row>
    <row r="62089" spans="3:13" ht="12.75" customHeight="1" x14ac:dyDescent="0.2">
      <c r="C62089"/>
      <c r="M62089"/>
    </row>
    <row r="62090" spans="3:13" ht="12.75" customHeight="1" x14ac:dyDescent="0.2">
      <c r="C62090"/>
      <c r="M62090"/>
    </row>
    <row r="62091" spans="3:13" ht="12.75" customHeight="1" x14ac:dyDescent="0.2">
      <c r="C62091"/>
      <c r="M62091"/>
    </row>
    <row r="62092" spans="3:13" ht="12.75" customHeight="1" x14ac:dyDescent="0.2">
      <c r="C62092"/>
      <c r="M62092"/>
    </row>
    <row r="62093" spans="3:13" ht="12.75" customHeight="1" x14ac:dyDescent="0.2">
      <c r="C62093"/>
      <c r="M62093"/>
    </row>
    <row r="62094" spans="3:13" ht="12.75" customHeight="1" x14ac:dyDescent="0.2">
      <c r="C62094"/>
      <c r="M62094"/>
    </row>
    <row r="62095" spans="3:13" ht="12.75" customHeight="1" x14ac:dyDescent="0.2">
      <c r="C62095"/>
      <c r="M62095"/>
    </row>
    <row r="62096" spans="3:13" ht="12.75" customHeight="1" x14ac:dyDescent="0.2">
      <c r="C62096"/>
      <c r="M62096"/>
    </row>
    <row r="62097" spans="3:13" ht="12.75" customHeight="1" x14ac:dyDescent="0.2">
      <c r="C62097"/>
      <c r="M62097"/>
    </row>
    <row r="62098" spans="3:13" ht="12.75" customHeight="1" x14ac:dyDescent="0.2">
      <c r="C62098"/>
      <c r="M62098"/>
    </row>
    <row r="62099" spans="3:13" ht="12.75" customHeight="1" x14ac:dyDescent="0.2">
      <c r="C62099"/>
      <c r="M62099"/>
    </row>
    <row r="62100" spans="3:13" ht="12.75" customHeight="1" x14ac:dyDescent="0.2">
      <c r="C62100"/>
      <c r="M62100"/>
    </row>
    <row r="62101" spans="3:13" ht="12.75" customHeight="1" x14ac:dyDescent="0.2">
      <c r="C62101"/>
      <c r="M62101"/>
    </row>
    <row r="62102" spans="3:13" ht="12.75" customHeight="1" x14ac:dyDescent="0.2">
      <c r="C62102"/>
      <c r="M62102"/>
    </row>
    <row r="62103" spans="3:13" ht="12.75" customHeight="1" x14ac:dyDescent="0.2">
      <c r="C62103"/>
      <c r="M62103"/>
    </row>
    <row r="62104" spans="3:13" ht="12.75" customHeight="1" x14ac:dyDescent="0.2">
      <c r="C62104"/>
      <c r="M62104"/>
    </row>
    <row r="62105" spans="3:13" ht="12.75" customHeight="1" x14ac:dyDescent="0.2">
      <c r="C62105"/>
      <c r="M62105"/>
    </row>
    <row r="62106" spans="3:13" ht="12.75" customHeight="1" x14ac:dyDescent="0.2">
      <c r="C62106"/>
      <c r="M62106"/>
    </row>
    <row r="62107" spans="3:13" ht="12.75" customHeight="1" x14ac:dyDescent="0.2">
      <c r="C62107"/>
      <c r="M62107"/>
    </row>
    <row r="62108" spans="3:13" ht="12.75" customHeight="1" x14ac:dyDescent="0.2">
      <c r="C62108"/>
      <c r="M62108"/>
    </row>
    <row r="62109" spans="3:13" ht="12.75" customHeight="1" x14ac:dyDescent="0.2">
      <c r="C62109"/>
      <c r="M62109"/>
    </row>
    <row r="62110" spans="3:13" ht="12.75" customHeight="1" x14ac:dyDescent="0.2">
      <c r="C62110"/>
      <c r="M62110"/>
    </row>
    <row r="62111" spans="3:13" ht="12.75" customHeight="1" x14ac:dyDescent="0.2">
      <c r="C62111"/>
      <c r="M62111"/>
    </row>
    <row r="62112" spans="3:13" ht="12.75" customHeight="1" x14ac:dyDescent="0.2">
      <c r="C62112"/>
      <c r="M62112"/>
    </row>
    <row r="62113" spans="3:13" ht="12.75" customHeight="1" x14ac:dyDescent="0.2">
      <c r="C62113"/>
      <c r="M62113"/>
    </row>
    <row r="62114" spans="3:13" ht="12.75" customHeight="1" x14ac:dyDescent="0.2">
      <c r="C62114"/>
      <c r="M62114"/>
    </row>
    <row r="62115" spans="3:13" ht="12.75" customHeight="1" x14ac:dyDescent="0.2">
      <c r="C62115"/>
      <c r="M62115"/>
    </row>
    <row r="62116" spans="3:13" ht="12.75" customHeight="1" x14ac:dyDescent="0.2">
      <c r="C62116"/>
      <c r="M62116"/>
    </row>
    <row r="62117" spans="3:13" ht="12.75" customHeight="1" x14ac:dyDescent="0.2">
      <c r="C62117"/>
      <c r="M62117"/>
    </row>
    <row r="62118" spans="3:13" ht="12.75" customHeight="1" x14ac:dyDescent="0.2">
      <c r="C62118"/>
      <c r="M62118"/>
    </row>
    <row r="62119" spans="3:13" ht="12.75" customHeight="1" x14ac:dyDescent="0.2">
      <c r="C62119"/>
      <c r="M62119"/>
    </row>
    <row r="62120" spans="3:13" ht="12.75" customHeight="1" x14ac:dyDescent="0.2">
      <c r="C62120"/>
      <c r="M62120"/>
    </row>
    <row r="62121" spans="3:13" ht="12.75" customHeight="1" x14ac:dyDescent="0.2">
      <c r="C62121"/>
      <c r="M62121"/>
    </row>
    <row r="62122" spans="3:13" ht="12.75" customHeight="1" x14ac:dyDescent="0.2">
      <c r="C62122"/>
      <c r="M62122"/>
    </row>
    <row r="62123" spans="3:13" ht="12.75" customHeight="1" x14ac:dyDescent="0.2">
      <c r="C62123"/>
      <c r="M62123"/>
    </row>
    <row r="62124" spans="3:13" ht="12.75" customHeight="1" x14ac:dyDescent="0.2">
      <c r="C62124"/>
      <c r="M62124"/>
    </row>
    <row r="62125" spans="3:13" ht="12.75" customHeight="1" x14ac:dyDescent="0.2">
      <c r="C62125"/>
      <c r="M62125"/>
    </row>
    <row r="62126" spans="3:13" ht="12.75" customHeight="1" x14ac:dyDescent="0.2">
      <c r="C62126"/>
      <c r="M62126"/>
    </row>
    <row r="62127" spans="3:13" ht="12.75" customHeight="1" x14ac:dyDescent="0.2">
      <c r="C62127"/>
      <c r="M62127"/>
    </row>
    <row r="62128" spans="3:13" ht="12.75" customHeight="1" x14ac:dyDescent="0.2">
      <c r="C62128"/>
      <c r="M62128"/>
    </row>
    <row r="62129" spans="3:13" ht="12.75" customHeight="1" x14ac:dyDescent="0.2">
      <c r="C62129"/>
      <c r="M62129"/>
    </row>
    <row r="62130" spans="3:13" ht="12.75" customHeight="1" x14ac:dyDescent="0.2">
      <c r="C62130"/>
      <c r="M62130"/>
    </row>
    <row r="62131" spans="3:13" ht="12.75" customHeight="1" x14ac:dyDescent="0.2">
      <c r="C62131"/>
      <c r="M62131"/>
    </row>
    <row r="62132" spans="3:13" ht="12.75" customHeight="1" x14ac:dyDescent="0.2">
      <c r="C62132"/>
      <c r="M62132"/>
    </row>
    <row r="62133" spans="3:13" ht="12.75" customHeight="1" x14ac:dyDescent="0.2">
      <c r="C62133"/>
      <c r="M62133"/>
    </row>
    <row r="62134" spans="3:13" ht="12.75" customHeight="1" x14ac:dyDescent="0.2">
      <c r="C62134"/>
      <c r="M62134"/>
    </row>
    <row r="62135" spans="3:13" ht="12.75" customHeight="1" x14ac:dyDescent="0.2">
      <c r="C62135"/>
      <c r="M62135"/>
    </row>
    <row r="62136" spans="3:13" ht="12.75" customHeight="1" x14ac:dyDescent="0.2">
      <c r="C62136"/>
      <c r="M62136"/>
    </row>
    <row r="62137" spans="3:13" ht="12.75" customHeight="1" x14ac:dyDescent="0.2">
      <c r="C62137"/>
      <c r="M62137"/>
    </row>
    <row r="62138" spans="3:13" ht="12.75" customHeight="1" x14ac:dyDescent="0.2">
      <c r="C62138"/>
      <c r="M62138"/>
    </row>
    <row r="62139" spans="3:13" ht="12.75" customHeight="1" x14ac:dyDescent="0.2">
      <c r="C62139"/>
      <c r="M62139"/>
    </row>
    <row r="62140" spans="3:13" ht="12.75" customHeight="1" x14ac:dyDescent="0.2">
      <c r="C62140"/>
      <c r="M62140"/>
    </row>
    <row r="62141" spans="3:13" ht="12.75" customHeight="1" x14ac:dyDescent="0.2">
      <c r="C62141"/>
      <c r="M62141"/>
    </row>
    <row r="62142" spans="3:13" ht="12.75" customHeight="1" x14ac:dyDescent="0.2">
      <c r="C62142"/>
      <c r="M62142"/>
    </row>
    <row r="62143" spans="3:13" ht="12.75" customHeight="1" x14ac:dyDescent="0.2">
      <c r="C62143"/>
      <c r="M62143"/>
    </row>
    <row r="62144" spans="3:13" ht="12.75" customHeight="1" x14ac:dyDescent="0.2">
      <c r="C62144"/>
      <c r="M62144"/>
    </row>
    <row r="62145" spans="3:13" ht="12.75" customHeight="1" x14ac:dyDescent="0.2">
      <c r="C62145"/>
      <c r="M62145"/>
    </row>
    <row r="62146" spans="3:13" ht="12.75" customHeight="1" x14ac:dyDescent="0.2">
      <c r="C62146"/>
      <c r="M62146"/>
    </row>
    <row r="62147" spans="3:13" ht="12.75" customHeight="1" x14ac:dyDescent="0.2">
      <c r="C62147"/>
      <c r="M62147"/>
    </row>
    <row r="62148" spans="3:13" ht="12.75" customHeight="1" x14ac:dyDescent="0.2">
      <c r="C62148"/>
      <c r="M62148"/>
    </row>
    <row r="62149" spans="3:13" ht="12.75" customHeight="1" x14ac:dyDescent="0.2">
      <c r="C62149"/>
      <c r="M62149"/>
    </row>
    <row r="62150" spans="3:13" ht="12.75" customHeight="1" x14ac:dyDescent="0.2">
      <c r="C62150"/>
      <c r="M62150"/>
    </row>
    <row r="62151" spans="3:13" ht="12.75" customHeight="1" x14ac:dyDescent="0.2">
      <c r="C62151"/>
      <c r="M62151"/>
    </row>
    <row r="62152" spans="3:13" ht="12.75" customHeight="1" x14ac:dyDescent="0.2">
      <c r="C62152"/>
      <c r="M62152"/>
    </row>
    <row r="62153" spans="3:13" ht="12.75" customHeight="1" x14ac:dyDescent="0.2">
      <c r="C62153"/>
      <c r="M62153"/>
    </row>
    <row r="62154" spans="3:13" ht="12.75" customHeight="1" x14ac:dyDescent="0.2">
      <c r="C62154"/>
      <c r="M62154"/>
    </row>
    <row r="62155" spans="3:13" ht="12.75" customHeight="1" x14ac:dyDescent="0.2">
      <c r="C62155"/>
      <c r="M62155"/>
    </row>
    <row r="62156" spans="3:13" ht="12.75" customHeight="1" x14ac:dyDescent="0.2">
      <c r="C62156"/>
      <c r="M62156"/>
    </row>
    <row r="62157" spans="3:13" ht="12.75" customHeight="1" x14ac:dyDescent="0.2">
      <c r="C62157"/>
      <c r="M62157"/>
    </row>
    <row r="62158" spans="3:13" ht="12.75" customHeight="1" x14ac:dyDescent="0.2">
      <c r="C62158"/>
      <c r="M62158"/>
    </row>
    <row r="62159" spans="3:13" ht="12.75" customHeight="1" x14ac:dyDescent="0.2">
      <c r="C62159"/>
      <c r="M62159"/>
    </row>
    <row r="62160" spans="3:13" ht="12.75" customHeight="1" x14ac:dyDescent="0.2">
      <c r="C62160"/>
      <c r="M62160"/>
    </row>
    <row r="62161" spans="3:13" ht="12.75" customHeight="1" x14ac:dyDescent="0.2">
      <c r="C62161"/>
      <c r="M62161"/>
    </row>
    <row r="62162" spans="3:13" ht="12.75" customHeight="1" x14ac:dyDescent="0.2">
      <c r="C62162"/>
      <c r="M62162"/>
    </row>
    <row r="62163" spans="3:13" ht="12.75" customHeight="1" x14ac:dyDescent="0.2">
      <c r="C62163"/>
      <c r="M62163"/>
    </row>
    <row r="62164" spans="3:13" ht="12.75" customHeight="1" x14ac:dyDescent="0.2">
      <c r="C62164"/>
      <c r="M62164"/>
    </row>
    <row r="62165" spans="3:13" ht="12.75" customHeight="1" x14ac:dyDescent="0.2">
      <c r="C62165"/>
      <c r="M62165"/>
    </row>
    <row r="62166" spans="3:13" ht="12.75" customHeight="1" x14ac:dyDescent="0.2">
      <c r="C62166"/>
      <c r="M62166"/>
    </row>
    <row r="62167" spans="3:13" ht="12.75" customHeight="1" x14ac:dyDescent="0.2">
      <c r="C62167"/>
      <c r="M62167"/>
    </row>
    <row r="62168" spans="3:13" ht="12.75" customHeight="1" x14ac:dyDescent="0.2">
      <c r="C62168"/>
      <c r="M62168"/>
    </row>
    <row r="62169" spans="3:13" ht="12.75" customHeight="1" x14ac:dyDescent="0.2">
      <c r="C62169"/>
      <c r="M62169"/>
    </row>
    <row r="62170" spans="3:13" ht="12.75" customHeight="1" x14ac:dyDescent="0.2">
      <c r="C62170"/>
      <c r="M62170"/>
    </row>
    <row r="62171" spans="3:13" ht="12.75" customHeight="1" x14ac:dyDescent="0.2">
      <c r="C62171"/>
      <c r="M62171"/>
    </row>
    <row r="62172" spans="3:13" ht="12.75" customHeight="1" x14ac:dyDescent="0.2">
      <c r="C62172"/>
      <c r="M62172"/>
    </row>
    <row r="62173" spans="3:13" ht="12.75" customHeight="1" x14ac:dyDescent="0.2">
      <c r="C62173"/>
      <c r="M62173"/>
    </row>
    <row r="62174" spans="3:13" ht="12.75" customHeight="1" x14ac:dyDescent="0.2">
      <c r="C62174"/>
      <c r="M62174"/>
    </row>
    <row r="62175" spans="3:13" ht="12.75" customHeight="1" x14ac:dyDescent="0.2">
      <c r="C62175"/>
      <c r="M62175"/>
    </row>
    <row r="62176" spans="3:13" ht="12.75" customHeight="1" x14ac:dyDescent="0.2">
      <c r="C62176"/>
      <c r="M62176"/>
    </row>
    <row r="62177" spans="3:13" ht="12.75" customHeight="1" x14ac:dyDescent="0.2">
      <c r="C62177"/>
      <c r="M62177"/>
    </row>
    <row r="62178" spans="3:13" ht="12.75" customHeight="1" x14ac:dyDescent="0.2">
      <c r="C62178"/>
      <c r="M62178"/>
    </row>
    <row r="62179" spans="3:13" ht="12.75" customHeight="1" x14ac:dyDescent="0.2">
      <c r="C62179"/>
      <c r="M62179"/>
    </row>
    <row r="62180" spans="3:13" ht="12.75" customHeight="1" x14ac:dyDescent="0.2">
      <c r="C62180"/>
      <c r="M62180"/>
    </row>
    <row r="62181" spans="3:13" ht="12.75" customHeight="1" x14ac:dyDescent="0.2">
      <c r="C62181"/>
      <c r="M62181"/>
    </row>
    <row r="62182" spans="3:13" ht="12.75" customHeight="1" x14ac:dyDescent="0.2">
      <c r="C62182"/>
      <c r="M62182"/>
    </row>
    <row r="62183" spans="3:13" ht="12.75" customHeight="1" x14ac:dyDescent="0.2">
      <c r="C62183"/>
      <c r="M62183"/>
    </row>
    <row r="62184" spans="3:13" ht="12.75" customHeight="1" x14ac:dyDescent="0.2">
      <c r="C62184"/>
      <c r="M62184"/>
    </row>
    <row r="62185" spans="3:13" ht="12.75" customHeight="1" x14ac:dyDescent="0.2">
      <c r="C62185"/>
      <c r="M62185"/>
    </row>
    <row r="62186" spans="3:13" ht="12.75" customHeight="1" x14ac:dyDescent="0.2">
      <c r="C62186"/>
      <c r="M62186"/>
    </row>
    <row r="62187" spans="3:13" ht="12.75" customHeight="1" x14ac:dyDescent="0.2">
      <c r="C62187"/>
      <c r="M62187"/>
    </row>
    <row r="62188" spans="3:13" ht="12.75" customHeight="1" x14ac:dyDescent="0.2">
      <c r="C62188"/>
      <c r="M62188"/>
    </row>
    <row r="62189" spans="3:13" ht="12.75" customHeight="1" x14ac:dyDescent="0.2">
      <c r="C62189"/>
      <c r="M62189"/>
    </row>
    <row r="62190" spans="3:13" ht="12.75" customHeight="1" x14ac:dyDescent="0.2">
      <c r="C62190"/>
      <c r="M62190"/>
    </row>
    <row r="62191" spans="3:13" ht="12.75" customHeight="1" x14ac:dyDescent="0.2">
      <c r="C62191"/>
      <c r="M62191"/>
    </row>
    <row r="62192" spans="3:13" ht="12.75" customHeight="1" x14ac:dyDescent="0.2">
      <c r="C62192"/>
      <c r="M62192"/>
    </row>
    <row r="62193" spans="3:13" ht="12.75" customHeight="1" x14ac:dyDescent="0.2">
      <c r="C62193"/>
      <c r="M62193"/>
    </row>
    <row r="62194" spans="3:13" ht="12.75" customHeight="1" x14ac:dyDescent="0.2">
      <c r="C62194"/>
      <c r="M62194"/>
    </row>
    <row r="62195" spans="3:13" ht="12.75" customHeight="1" x14ac:dyDescent="0.2">
      <c r="C62195"/>
      <c r="M62195"/>
    </row>
    <row r="62196" spans="3:13" ht="12.75" customHeight="1" x14ac:dyDescent="0.2">
      <c r="C62196"/>
      <c r="M62196"/>
    </row>
    <row r="62197" spans="3:13" ht="12.75" customHeight="1" x14ac:dyDescent="0.2">
      <c r="C62197"/>
      <c r="M62197"/>
    </row>
    <row r="62198" spans="3:13" ht="12.75" customHeight="1" x14ac:dyDescent="0.2">
      <c r="C62198"/>
      <c r="M62198"/>
    </row>
    <row r="62199" spans="3:13" ht="12.75" customHeight="1" x14ac:dyDescent="0.2">
      <c r="C62199"/>
      <c r="M62199"/>
    </row>
    <row r="62200" spans="3:13" ht="12.75" customHeight="1" x14ac:dyDescent="0.2">
      <c r="C62200"/>
      <c r="M62200"/>
    </row>
    <row r="62201" spans="3:13" ht="12.75" customHeight="1" x14ac:dyDescent="0.2">
      <c r="C62201"/>
      <c r="M62201"/>
    </row>
    <row r="62202" spans="3:13" ht="12.75" customHeight="1" x14ac:dyDescent="0.2">
      <c r="C62202"/>
      <c r="M62202"/>
    </row>
    <row r="62203" spans="3:13" ht="12.75" customHeight="1" x14ac:dyDescent="0.2">
      <c r="C62203"/>
      <c r="M62203"/>
    </row>
    <row r="62204" spans="3:13" ht="12.75" customHeight="1" x14ac:dyDescent="0.2">
      <c r="C62204"/>
      <c r="M62204"/>
    </row>
    <row r="62205" spans="3:13" ht="12.75" customHeight="1" x14ac:dyDescent="0.2">
      <c r="C62205"/>
      <c r="M62205"/>
    </row>
    <row r="62206" spans="3:13" ht="12.75" customHeight="1" x14ac:dyDescent="0.2">
      <c r="C62206"/>
      <c r="M62206"/>
    </row>
    <row r="62207" spans="3:13" ht="12.75" customHeight="1" x14ac:dyDescent="0.2">
      <c r="C62207"/>
      <c r="M62207"/>
    </row>
    <row r="62208" spans="3:13" ht="12.75" customHeight="1" x14ac:dyDescent="0.2">
      <c r="C62208"/>
      <c r="M62208"/>
    </row>
    <row r="62209" spans="3:13" ht="12.75" customHeight="1" x14ac:dyDescent="0.2">
      <c r="C62209"/>
      <c r="M62209"/>
    </row>
    <row r="62210" spans="3:13" ht="12.75" customHeight="1" x14ac:dyDescent="0.2">
      <c r="C62210"/>
      <c r="M62210"/>
    </row>
    <row r="62211" spans="3:13" ht="12.75" customHeight="1" x14ac:dyDescent="0.2">
      <c r="C62211"/>
      <c r="M62211"/>
    </row>
    <row r="62212" spans="3:13" ht="12.75" customHeight="1" x14ac:dyDescent="0.2">
      <c r="C62212"/>
      <c r="M62212"/>
    </row>
    <row r="62213" spans="3:13" ht="12.75" customHeight="1" x14ac:dyDescent="0.2">
      <c r="C62213"/>
      <c r="M62213"/>
    </row>
    <row r="62214" spans="3:13" ht="12.75" customHeight="1" x14ac:dyDescent="0.2">
      <c r="C62214"/>
      <c r="M62214"/>
    </row>
    <row r="62215" spans="3:13" ht="12.75" customHeight="1" x14ac:dyDescent="0.2">
      <c r="C62215"/>
      <c r="M62215"/>
    </row>
    <row r="62216" spans="3:13" ht="12.75" customHeight="1" x14ac:dyDescent="0.2">
      <c r="C62216"/>
      <c r="M62216"/>
    </row>
    <row r="62217" spans="3:13" ht="12.75" customHeight="1" x14ac:dyDescent="0.2">
      <c r="C62217"/>
      <c r="M62217"/>
    </row>
    <row r="62218" spans="3:13" ht="12.75" customHeight="1" x14ac:dyDescent="0.2">
      <c r="C62218"/>
      <c r="M62218"/>
    </row>
    <row r="62219" spans="3:13" ht="12.75" customHeight="1" x14ac:dyDescent="0.2">
      <c r="C62219"/>
      <c r="M62219"/>
    </row>
    <row r="62220" spans="3:13" ht="12.75" customHeight="1" x14ac:dyDescent="0.2">
      <c r="C62220"/>
      <c r="M62220"/>
    </row>
    <row r="62221" spans="3:13" ht="12.75" customHeight="1" x14ac:dyDescent="0.2">
      <c r="C62221"/>
      <c r="M62221"/>
    </row>
    <row r="62222" spans="3:13" ht="12.75" customHeight="1" x14ac:dyDescent="0.2">
      <c r="C62222"/>
      <c r="M62222"/>
    </row>
    <row r="62223" spans="3:13" ht="12.75" customHeight="1" x14ac:dyDescent="0.2">
      <c r="C62223"/>
      <c r="M62223"/>
    </row>
    <row r="62224" spans="3:13" ht="12.75" customHeight="1" x14ac:dyDescent="0.2">
      <c r="C62224"/>
      <c r="M62224"/>
    </row>
    <row r="62225" spans="3:13" ht="12.75" customHeight="1" x14ac:dyDescent="0.2">
      <c r="C62225"/>
      <c r="M62225"/>
    </row>
    <row r="62226" spans="3:13" ht="12.75" customHeight="1" x14ac:dyDescent="0.2">
      <c r="C62226"/>
      <c r="M62226"/>
    </row>
    <row r="62227" spans="3:13" ht="12.75" customHeight="1" x14ac:dyDescent="0.2">
      <c r="C62227"/>
      <c r="M62227"/>
    </row>
    <row r="62228" spans="3:13" ht="12.75" customHeight="1" x14ac:dyDescent="0.2">
      <c r="C62228"/>
      <c r="M62228"/>
    </row>
    <row r="62229" spans="3:13" ht="12.75" customHeight="1" x14ac:dyDescent="0.2">
      <c r="C62229"/>
      <c r="M62229"/>
    </row>
    <row r="62230" spans="3:13" ht="12.75" customHeight="1" x14ac:dyDescent="0.2">
      <c r="C62230"/>
      <c r="M62230"/>
    </row>
    <row r="62231" spans="3:13" ht="12.75" customHeight="1" x14ac:dyDescent="0.2">
      <c r="C62231"/>
      <c r="M62231"/>
    </row>
    <row r="62232" spans="3:13" ht="12.75" customHeight="1" x14ac:dyDescent="0.2">
      <c r="C62232"/>
      <c r="M62232"/>
    </row>
    <row r="62233" spans="3:13" ht="12.75" customHeight="1" x14ac:dyDescent="0.2">
      <c r="C62233"/>
      <c r="M62233"/>
    </row>
    <row r="62234" spans="3:13" ht="12.75" customHeight="1" x14ac:dyDescent="0.2">
      <c r="C62234"/>
      <c r="M62234"/>
    </row>
    <row r="62235" spans="3:13" ht="12.75" customHeight="1" x14ac:dyDescent="0.2">
      <c r="C62235"/>
      <c r="M62235"/>
    </row>
    <row r="62236" spans="3:13" ht="12.75" customHeight="1" x14ac:dyDescent="0.2">
      <c r="C62236"/>
      <c r="M62236"/>
    </row>
    <row r="62237" spans="3:13" ht="12.75" customHeight="1" x14ac:dyDescent="0.2">
      <c r="C62237"/>
      <c r="M62237"/>
    </row>
    <row r="62238" spans="3:13" ht="12.75" customHeight="1" x14ac:dyDescent="0.2">
      <c r="C62238"/>
      <c r="M62238"/>
    </row>
    <row r="62239" spans="3:13" ht="12.75" customHeight="1" x14ac:dyDescent="0.2">
      <c r="C62239"/>
      <c r="M62239"/>
    </row>
    <row r="62240" spans="3:13" ht="12.75" customHeight="1" x14ac:dyDescent="0.2">
      <c r="C62240"/>
      <c r="M62240"/>
    </row>
    <row r="62241" spans="3:13" ht="12.75" customHeight="1" x14ac:dyDescent="0.2">
      <c r="C62241"/>
      <c r="M62241"/>
    </row>
    <row r="62242" spans="3:13" ht="12.75" customHeight="1" x14ac:dyDescent="0.2">
      <c r="C62242"/>
      <c r="M62242"/>
    </row>
    <row r="62243" spans="3:13" ht="12.75" customHeight="1" x14ac:dyDescent="0.2">
      <c r="C62243"/>
      <c r="M62243"/>
    </row>
    <row r="62244" spans="3:13" ht="12.75" customHeight="1" x14ac:dyDescent="0.2">
      <c r="C62244"/>
      <c r="M62244"/>
    </row>
    <row r="62245" spans="3:13" ht="12.75" customHeight="1" x14ac:dyDescent="0.2">
      <c r="C62245"/>
      <c r="M62245"/>
    </row>
    <row r="62246" spans="3:13" ht="12.75" customHeight="1" x14ac:dyDescent="0.2">
      <c r="C62246"/>
      <c r="M62246"/>
    </row>
    <row r="62247" spans="3:13" ht="12.75" customHeight="1" x14ac:dyDescent="0.2">
      <c r="C62247"/>
      <c r="M62247"/>
    </row>
    <row r="62248" spans="3:13" ht="12.75" customHeight="1" x14ac:dyDescent="0.2">
      <c r="C62248"/>
      <c r="M62248"/>
    </row>
    <row r="62249" spans="3:13" ht="12.75" customHeight="1" x14ac:dyDescent="0.2">
      <c r="C62249"/>
      <c r="M62249"/>
    </row>
    <row r="62250" spans="3:13" ht="12.75" customHeight="1" x14ac:dyDescent="0.2">
      <c r="C62250"/>
      <c r="M62250"/>
    </row>
    <row r="62251" spans="3:13" ht="12.75" customHeight="1" x14ac:dyDescent="0.2">
      <c r="C62251"/>
      <c r="M62251"/>
    </row>
    <row r="62252" spans="3:13" ht="12.75" customHeight="1" x14ac:dyDescent="0.2">
      <c r="C62252"/>
      <c r="M62252"/>
    </row>
    <row r="62253" spans="3:13" ht="12.75" customHeight="1" x14ac:dyDescent="0.2">
      <c r="C62253"/>
      <c r="M62253"/>
    </row>
    <row r="62254" spans="3:13" ht="12.75" customHeight="1" x14ac:dyDescent="0.2">
      <c r="C62254"/>
      <c r="M62254"/>
    </row>
    <row r="62255" spans="3:13" ht="12.75" customHeight="1" x14ac:dyDescent="0.2">
      <c r="C62255"/>
      <c r="M62255"/>
    </row>
    <row r="62256" spans="3:13" ht="12.75" customHeight="1" x14ac:dyDescent="0.2">
      <c r="C62256"/>
      <c r="M62256"/>
    </row>
    <row r="62257" spans="3:13" ht="12.75" customHeight="1" x14ac:dyDescent="0.2">
      <c r="C62257"/>
      <c r="M62257"/>
    </row>
    <row r="62258" spans="3:13" ht="12.75" customHeight="1" x14ac:dyDescent="0.2">
      <c r="C62258"/>
      <c r="M62258"/>
    </row>
    <row r="62259" spans="3:13" ht="12.75" customHeight="1" x14ac:dyDescent="0.2">
      <c r="C62259"/>
      <c r="M62259"/>
    </row>
    <row r="62260" spans="3:13" ht="12.75" customHeight="1" x14ac:dyDescent="0.2">
      <c r="C62260"/>
      <c r="M62260"/>
    </row>
    <row r="62261" spans="3:13" ht="12.75" customHeight="1" x14ac:dyDescent="0.2">
      <c r="C62261"/>
      <c r="M62261"/>
    </row>
    <row r="62262" spans="3:13" ht="12.75" customHeight="1" x14ac:dyDescent="0.2">
      <c r="C62262"/>
      <c r="M62262"/>
    </row>
    <row r="62263" spans="3:13" ht="12.75" customHeight="1" x14ac:dyDescent="0.2">
      <c r="C62263"/>
      <c r="M62263"/>
    </row>
    <row r="62264" spans="3:13" ht="12.75" customHeight="1" x14ac:dyDescent="0.2">
      <c r="C62264"/>
      <c r="M62264"/>
    </row>
    <row r="62265" spans="3:13" ht="12.75" customHeight="1" x14ac:dyDescent="0.2">
      <c r="C62265"/>
      <c r="M62265"/>
    </row>
    <row r="62266" spans="3:13" ht="12.75" customHeight="1" x14ac:dyDescent="0.2">
      <c r="C62266"/>
      <c r="M62266"/>
    </row>
    <row r="62267" spans="3:13" ht="12.75" customHeight="1" x14ac:dyDescent="0.2">
      <c r="C62267"/>
      <c r="M62267"/>
    </row>
    <row r="62268" spans="3:13" ht="12.75" customHeight="1" x14ac:dyDescent="0.2">
      <c r="C62268"/>
      <c r="M62268"/>
    </row>
    <row r="62269" spans="3:13" ht="12.75" customHeight="1" x14ac:dyDescent="0.2">
      <c r="C62269"/>
      <c r="M62269"/>
    </row>
    <row r="62270" spans="3:13" ht="12.75" customHeight="1" x14ac:dyDescent="0.2">
      <c r="C62270"/>
      <c r="M62270"/>
    </row>
    <row r="62271" spans="3:13" ht="12.75" customHeight="1" x14ac:dyDescent="0.2">
      <c r="C62271"/>
      <c r="M62271"/>
    </row>
    <row r="62272" spans="3:13" ht="12.75" customHeight="1" x14ac:dyDescent="0.2">
      <c r="C62272"/>
      <c r="M62272"/>
    </row>
    <row r="62273" spans="3:13" ht="12.75" customHeight="1" x14ac:dyDescent="0.2">
      <c r="C62273"/>
      <c r="M62273"/>
    </row>
    <row r="62274" spans="3:13" ht="12.75" customHeight="1" x14ac:dyDescent="0.2">
      <c r="C62274"/>
      <c r="M62274"/>
    </row>
    <row r="62275" spans="3:13" ht="12.75" customHeight="1" x14ac:dyDescent="0.2">
      <c r="C62275"/>
      <c r="M62275"/>
    </row>
    <row r="62276" spans="3:13" ht="12.75" customHeight="1" x14ac:dyDescent="0.2">
      <c r="C62276"/>
      <c r="M62276"/>
    </row>
    <row r="62277" spans="3:13" ht="12.75" customHeight="1" x14ac:dyDescent="0.2">
      <c r="C62277"/>
      <c r="M62277"/>
    </row>
    <row r="62278" spans="3:13" ht="12.75" customHeight="1" x14ac:dyDescent="0.2">
      <c r="C62278"/>
      <c r="M62278"/>
    </row>
    <row r="62279" spans="3:13" ht="12.75" customHeight="1" x14ac:dyDescent="0.2">
      <c r="C62279"/>
      <c r="M62279"/>
    </row>
    <row r="62280" spans="3:13" ht="12.75" customHeight="1" x14ac:dyDescent="0.2">
      <c r="C62280"/>
      <c r="M62280"/>
    </row>
    <row r="62281" spans="3:13" ht="12.75" customHeight="1" x14ac:dyDescent="0.2">
      <c r="C62281"/>
      <c r="M62281"/>
    </row>
    <row r="62282" spans="3:13" ht="12.75" customHeight="1" x14ac:dyDescent="0.2">
      <c r="C62282"/>
      <c r="M62282"/>
    </row>
    <row r="62283" spans="3:13" ht="12.75" customHeight="1" x14ac:dyDescent="0.2">
      <c r="C62283"/>
      <c r="M62283"/>
    </row>
    <row r="62284" spans="3:13" ht="12.75" customHeight="1" x14ac:dyDescent="0.2">
      <c r="C62284"/>
      <c r="M62284"/>
    </row>
    <row r="62285" spans="3:13" ht="12.75" customHeight="1" x14ac:dyDescent="0.2">
      <c r="C62285"/>
      <c r="M62285"/>
    </row>
    <row r="62286" spans="3:13" ht="12.75" customHeight="1" x14ac:dyDescent="0.2">
      <c r="C62286"/>
      <c r="M62286"/>
    </row>
    <row r="62287" spans="3:13" ht="12.75" customHeight="1" x14ac:dyDescent="0.2">
      <c r="C62287"/>
      <c r="M62287"/>
    </row>
    <row r="62288" spans="3:13" ht="12.75" customHeight="1" x14ac:dyDescent="0.2">
      <c r="C62288"/>
      <c r="M62288"/>
    </row>
    <row r="62289" spans="3:13" ht="12.75" customHeight="1" x14ac:dyDescent="0.2">
      <c r="C62289"/>
      <c r="M62289"/>
    </row>
    <row r="62290" spans="3:13" ht="12.75" customHeight="1" x14ac:dyDescent="0.2">
      <c r="C62290"/>
      <c r="M62290"/>
    </row>
    <row r="62291" spans="3:13" ht="12.75" customHeight="1" x14ac:dyDescent="0.2">
      <c r="C62291"/>
      <c r="M62291"/>
    </row>
    <row r="62292" spans="3:13" ht="12.75" customHeight="1" x14ac:dyDescent="0.2">
      <c r="C62292"/>
      <c r="M62292"/>
    </row>
    <row r="62293" spans="3:13" ht="12.75" customHeight="1" x14ac:dyDescent="0.2">
      <c r="C62293"/>
      <c r="M62293"/>
    </row>
    <row r="62294" spans="3:13" ht="12.75" customHeight="1" x14ac:dyDescent="0.2">
      <c r="C62294"/>
      <c r="M62294"/>
    </row>
    <row r="62295" spans="3:13" ht="12.75" customHeight="1" x14ac:dyDescent="0.2">
      <c r="C62295"/>
      <c r="M62295"/>
    </row>
    <row r="62296" spans="3:13" ht="12.75" customHeight="1" x14ac:dyDescent="0.2">
      <c r="C62296"/>
      <c r="M62296"/>
    </row>
    <row r="62297" spans="3:13" ht="12.75" customHeight="1" x14ac:dyDescent="0.2">
      <c r="C62297"/>
      <c r="M62297"/>
    </row>
    <row r="62298" spans="3:13" ht="12.75" customHeight="1" x14ac:dyDescent="0.2">
      <c r="C62298"/>
      <c r="M62298"/>
    </row>
    <row r="62299" spans="3:13" ht="12.75" customHeight="1" x14ac:dyDescent="0.2">
      <c r="C62299"/>
      <c r="M62299"/>
    </row>
    <row r="62300" spans="3:13" ht="12.75" customHeight="1" x14ac:dyDescent="0.2">
      <c r="C62300"/>
      <c r="M62300"/>
    </row>
    <row r="62301" spans="3:13" ht="12.75" customHeight="1" x14ac:dyDescent="0.2">
      <c r="C62301"/>
      <c r="M62301"/>
    </row>
    <row r="62302" spans="3:13" ht="12.75" customHeight="1" x14ac:dyDescent="0.2">
      <c r="C62302"/>
      <c r="M62302"/>
    </row>
    <row r="62303" spans="3:13" ht="12.75" customHeight="1" x14ac:dyDescent="0.2">
      <c r="C62303"/>
      <c r="M62303"/>
    </row>
    <row r="62304" spans="3:13" ht="12.75" customHeight="1" x14ac:dyDescent="0.2">
      <c r="C62304"/>
      <c r="M62304"/>
    </row>
    <row r="62305" spans="3:13" ht="12.75" customHeight="1" x14ac:dyDescent="0.2">
      <c r="C62305"/>
      <c r="M62305"/>
    </row>
    <row r="62306" spans="3:13" ht="12.75" customHeight="1" x14ac:dyDescent="0.2">
      <c r="C62306"/>
      <c r="M62306"/>
    </row>
    <row r="62307" spans="3:13" ht="12.75" customHeight="1" x14ac:dyDescent="0.2">
      <c r="C62307"/>
      <c r="M62307"/>
    </row>
    <row r="62308" spans="3:13" ht="12.75" customHeight="1" x14ac:dyDescent="0.2">
      <c r="C62308"/>
      <c r="M62308"/>
    </row>
    <row r="62309" spans="3:13" ht="12.75" customHeight="1" x14ac:dyDescent="0.2">
      <c r="C62309"/>
      <c r="M62309"/>
    </row>
    <row r="62310" spans="3:13" ht="12.75" customHeight="1" x14ac:dyDescent="0.2">
      <c r="C62310"/>
      <c r="M62310"/>
    </row>
    <row r="62311" spans="3:13" ht="12.75" customHeight="1" x14ac:dyDescent="0.2">
      <c r="C62311"/>
      <c r="M62311"/>
    </row>
    <row r="62312" spans="3:13" ht="12.75" customHeight="1" x14ac:dyDescent="0.2">
      <c r="C62312"/>
      <c r="M62312"/>
    </row>
    <row r="62313" spans="3:13" ht="12.75" customHeight="1" x14ac:dyDescent="0.2">
      <c r="C62313"/>
      <c r="M62313"/>
    </row>
    <row r="62314" spans="3:13" ht="12.75" customHeight="1" x14ac:dyDescent="0.2">
      <c r="C62314"/>
      <c r="M62314"/>
    </row>
    <row r="62315" spans="3:13" ht="12.75" customHeight="1" x14ac:dyDescent="0.2">
      <c r="C62315"/>
      <c r="M62315"/>
    </row>
    <row r="62316" spans="3:13" ht="12.75" customHeight="1" x14ac:dyDescent="0.2">
      <c r="C62316"/>
      <c r="M62316"/>
    </row>
    <row r="62317" spans="3:13" ht="12.75" customHeight="1" x14ac:dyDescent="0.2">
      <c r="C62317"/>
      <c r="M62317"/>
    </row>
    <row r="62318" spans="3:13" ht="12.75" customHeight="1" x14ac:dyDescent="0.2">
      <c r="C62318"/>
      <c r="M62318"/>
    </row>
    <row r="62319" spans="3:13" ht="12.75" customHeight="1" x14ac:dyDescent="0.2">
      <c r="C62319"/>
      <c r="M62319"/>
    </row>
    <row r="62320" spans="3:13" ht="12.75" customHeight="1" x14ac:dyDescent="0.2">
      <c r="C62320"/>
      <c r="M62320"/>
    </row>
    <row r="62321" spans="3:13" ht="12.75" customHeight="1" x14ac:dyDescent="0.2">
      <c r="C62321"/>
      <c r="M62321"/>
    </row>
    <row r="62322" spans="3:13" ht="12.75" customHeight="1" x14ac:dyDescent="0.2">
      <c r="C62322"/>
      <c r="M62322"/>
    </row>
    <row r="62323" spans="3:13" ht="12.75" customHeight="1" x14ac:dyDescent="0.2">
      <c r="C62323"/>
      <c r="M62323"/>
    </row>
    <row r="62324" spans="3:13" ht="12.75" customHeight="1" x14ac:dyDescent="0.2">
      <c r="C62324"/>
      <c r="M62324"/>
    </row>
    <row r="62325" spans="3:13" ht="12.75" customHeight="1" x14ac:dyDescent="0.2">
      <c r="C62325"/>
      <c r="M62325"/>
    </row>
    <row r="62326" spans="3:13" ht="12.75" customHeight="1" x14ac:dyDescent="0.2">
      <c r="C62326"/>
      <c r="M62326"/>
    </row>
    <row r="62327" spans="3:13" ht="12.75" customHeight="1" x14ac:dyDescent="0.2">
      <c r="C62327"/>
      <c r="M62327"/>
    </row>
    <row r="62328" spans="3:13" ht="12.75" customHeight="1" x14ac:dyDescent="0.2">
      <c r="C62328"/>
      <c r="M62328"/>
    </row>
    <row r="62329" spans="3:13" ht="12.75" customHeight="1" x14ac:dyDescent="0.2">
      <c r="C62329"/>
      <c r="M62329"/>
    </row>
    <row r="62330" spans="3:13" ht="12.75" customHeight="1" x14ac:dyDescent="0.2">
      <c r="C62330"/>
      <c r="M62330"/>
    </row>
    <row r="62331" spans="3:13" ht="12.75" customHeight="1" x14ac:dyDescent="0.2">
      <c r="C62331"/>
      <c r="M62331"/>
    </row>
    <row r="62332" spans="3:13" ht="12.75" customHeight="1" x14ac:dyDescent="0.2">
      <c r="C62332"/>
      <c r="M62332"/>
    </row>
    <row r="62333" spans="3:13" ht="12.75" customHeight="1" x14ac:dyDescent="0.2">
      <c r="C62333"/>
      <c r="M62333"/>
    </row>
    <row r="62334" spans="3:13" ht="12.75" customHeight="1" x14ac:dyDescent="0.2">
      <c r="C62334"/>
      <c r="M62334"/>
    </row>
    <row r="62335" spans="3:13" ht="12.75" customHeight="1" x14ac:dyDescent="0.2">
      <c r="C62335"/>
      <c r="M62335"/>
    </row>
    <row r="62336" spans="3:13" ht="12.75" customHeight="1" x14ac:dyDescent="0.2">
      <c r="C62336"/>
      <c r="M62336"/>
    </row>
    <row r="62337" spans="3:13" ht="12.75" customHeight="1" x14ac:dyDescent="0.2">
      <c r="C62337"/>
      <c r="M62337"/>
    </row>
    <row r="62338" spans="3:13" ht="12.75" customHeight="1" x14ac:dyDescent="0.2">
      <c r="C62338"/>
      <c r="M62338"/>
    </row>
    <row r="62339" spans="3:13" ht="12.75" customHeight="1" x14ac:dyDescent="0.2">
      <c r="C62339"/>
      <c r="M62339"/>
    </row>
    <row r="62340" spans="3:13" ht="12.75" customHeight="1" x14ac:dyDescent="0.2">
      <c r="C62340"/>
      <c r="M62340"/>
    </row>
    <row r="62341" spans="3:13" ht="12.75" customHeight="1" x14ac:dyDescent="0.2">
      <c r="C62341"/>
      <c r="M62341"/>
    </row>
    <row r="62342" spans="3:13" ht="12.75" customHeight="1" x14ac:dyDescent="0.2">
      <c r="C62342"/>
      <c r="M62342"/>
    </row>
    <row r="62343" spans="3:13" ht="12.75" customHeight="1" x14ac:dyDescent="0.2">
      <c r="C62343"/>
      <c r="M62343"/>
    </row>
    <row r="62344" spans="3:13" ht="12.75" customHeight="1" x14ac:dyDescent="0.2">
      <c r="C62344"/>
      <c r="M62344"/>
    </row>
    <row r="62345" spans="3:13" ht="12.75" customHeight="1" x14ac:dyDescent="0.2">
      <c r="C62345"/>
      <c r="M62345"/>
    </row>
    <row r="62346" spans="3:13" ht="12.75" customHeight="1" x14ac:dyDescent="0.2">
      <c r="C62346"/>
      <c r="M62346"/>
    </row>
    <row r="62347" spans="3:13" ht="12.75" customHeight="1" x14ac:dyDescent="0.2">
      <c r="C62347"/>
      <c r="M62347"/>
    </row>
    <row r="62348" spans="3:13" ht="12.75" customHeight="1" x14ac:dyDescent="0.2">
      <c r="C62348"/>
      <c r="M62348"/>
    </row>
    <row r="62349" spans="3:13" ht="12.75" customHeight="1" x14ac:dyDescent="0.2">
      <c r="C62349"/>
      <c r="M62349"/>
    </row>
    <row r="62350" spans="3:13" ht="12.75" customHeight="1" x14ac:dyDescent="0.2">
      <c r="C62350"/>
      <c r="M62350"/>
    </row>
    <row r="62351" spans="3:13" ht="12.75" customHeight="1" x14ac:dyDescent="0.2">
      <c r="C62351"/>
      <c r="M62351"/>
    </row>
    <row r="62352" spans="3:13" ht="12.75" customHeight="1" x14ac:dyDescent="0.2">
      <c r="C62352"/>
      <c r="M62352"/>
    </row>
    <row r="62353" spans="3:13" ht="12.75" customHeight="1" x14ac:dyDescent="0.2">
      <c r="C62353"/>
      <c r="M62353"/>
    </row>
    <row r="62354" spans="3:13" ht="12.75" customHeight="1" x14ac:dyDescent="0.2">
      <c r="C62354"/>
      <c r="M62354"/>
    </row>
    <row r="62355" spans="3:13" ht="12.75" customHeight="1" x14ac:dyDescent="0.2">
      <c r="C62355"/>
      <c r="M62355"/>
    </row>
    <row r="62356" spans="3:13" ht="12.75" customHeight="1" x14ac:dyDescent="0.2">
      <c r="C62356"/>
      <c r="M62356"/>
    </row>
    <row r="62357" spans="3:13" ht="12.75" customHeight="1" x14ac:dyDescent="0.2">
      <c r="C62357"/>
      <c r="M62357"/>
    </row>
    <row r="62358" spans="3:13" ht="12.75" customHeight="1" x14ac:dyDescent="0.2">
      <c r="C62358"/>
      <c r="M62358"/>
    </row>
    <row r="62359" spans="3:13" ht="12.75" customHeight="1" x14ac:dyDescent="0.2">
      <c r="C62359"/>
      <c r="M62359"/>
    </row>
    <row r="62360" spans="3:13" ht="12.75" customHeight="1" x14ac:dyDescent="0.2">
      <c r="C62360"/>
      <c r="M62360"/>
    </row>
    <row r="62361" spans="3:13" ht="12.75" customHeight="1" x14ac:dyDescent="0.2">
      <c r="C62361"/>
      <c r="M62361"/>
    </row>
    <row r="62362" spans="3:13" ht="12.75" customHeight="1" x14ac:dyDescent="0.2">
      <c r="C62362"/>
      <c r="M62362"/>
    </row>
    <row r="62363" spans="3:13" ht="12.75" customHeight="1" x14ac:dyDescent="0.2">
      <c r="C62363"/>
      <c r="M62363"/>
    </row>
    <row r="62364" spans="3:13" ht="12.75" customHeight="1" x14ac:dyDescent="0.2">
      <c r="C62364"/>
      <c r="M62364"/>
    </row>
    <row r="62365" spans="3:13" ht="12.75" customHeight="1" x14ac:dyDescent="0.2">
      <c r="C62365"/>
      <c r="M62365"/>
    </row>
    <row r="62366" spans="3:13" ht="12.75" customHeight="1" x14ac:dyDescent="0.2">
      <c r="C62366"/>
      <c r="M62366"/>
    </row>
    <row r="62367" spans="3:13" ht="12.75" customHeight="1" x14ac:dyDescent="0.2">
      <c r="C62367"/>
      <c r="M62367"/>
    </row>
    <row r="62368" spans="3:13" ht="12.75" customHeight="1" x14ac:dyDescent="0.2">
      <c r="C62368"/>
      <c r="M62368"/>
    </row>
    <row r="62369" spans="3:13" ht="12.75" customHeight="1" x14ac:dyDescent="0.2">
      <c r="C62369"/>
      <c r="M62369"/>
    </row>
    <row r="62370" spans="3:13" ht="12.75" customHeight="1" x14ac:dyDescent="0.2">
      <c r="C62370"/>
      <c r="M62370"/>
    </row>
    <row r="62371" spans="3:13" ht="12.75" customHeight="1" x14ac:dyDescent="0.2">
      <c r="C62371"/>
      <c r="M62371"/>
    </row>
    <row r="62372" spans="3:13" ht="12.75" customHeight="1" x14ac:dyDescent="0.2">
      <c r="C62372"/>
      <c r="M62372"/>
    </row>
    <row r="62373" spans="3:13" ht="12.75" customHeight="1" x14ac:dyDescent="0.2">
      <c r="C62373"/>
      <c r="M62373"/>
    </row>
    <row r="62374" spans="3:13" ht="12.75" customHeight="1" x14ac:dyDescent="0.2">
      <c r="C62374"/>
      <c r="M62374"/>
    </row>
    <row r="62375" spans="3:13" ht="12.75" customHeight="1" x14ac:dyDescent="0.2">
      <c r="C62375"/>
      <c r="M62375"/>
    </row>
    <row r="62376" spans="3:13" ht="12.75" customHeight="1" x14ac:dyDescent="0.2">
      <c r="C62376"/>
      <c r="M62376"/>
    </row>
    <row r="62377" spans="3:13" ht="12.75" customHeight="1" x14ac:dyDescent="0.2">
      <c r="C62377"/>
      <c r="M62377"/>
    </row>
    <row r="62378" spans="3:13" ht="12.75" customHeight="1" x14ac:dyDescent="0.2">
      <c r="C62378"/>
      <c r="M62378"/>
    </row>
    <row r="62379" spans="3:13" ht="12.75" customHeight="1" x14ac:dyDescent="0.2">
      <c r="C62379"/>
      <c r="M62379"/>
    </row>
    <row r="62380" spans="3:13" ht="12.75" customHeight="1" x14ac:dyDescent="0.2">
      <c r="C62380"/>
      <c r="M62380"/>
    </row>
    <row r="62381" spans="3:13" ht="12.75" customHeight="1" x14ac:dyDescent="0.2">
      <c r="C62381"/>
      <c r="M62381"/>
    </row>
    <row r="62382" spans="3:13" ht="12.75" customHeight="1" x14ac:dyDescent="0.2">
      <c r="C62382"/>
      <c r="M62382"/>
    </row>
    <row r="62383" spans="3:13" ht="12.75" customHeight="1" x14ac:dyDescent="0.2">
      <c r="C62383"/>
      <c r="M62383"/>
    </row>
    <row r="62384" spans="3:13" ht="12.75" customHeight="1" x14ac:dyDescent="0.2">
      <c r="C62384"/>
      <c r="M62384"/>
    </row>
    <row r="62385" spans="3:13" ht="12.75" customHeight="1" x14ac:dyDescent="0.2">
      <c r="C62385"/>
      <c r="M62385"/>
    </row>
    <row r="62386" spans="3:13" ht="12.75" customHeight="1" x14ac:dyDescent="0.2">
      <c r="C62386"/>
      <c r="M62386"/>
    </row>
    <row r="62387" spans="3:13" ht="12.75" customHeight="1" x14ac:dyDescent="0.2">
      <c r="C62387"/>
      <c r="M62387"/>
    </row>
    <row r="62388" spans="3:13" ht="12.75" customHeight="1" x14ac:dyDescent="0.2">
      <c r="C62388"/>
      <c r="M62388"/>
    </row>
    <row r="62389" spans="3:13" ht="12.75" customHeight="1" x14ac:dyDescent="0.2">
      <c r="C62389"/>
      <c r="M62389"/>
    </row>
    <row r="62390" spans="3:13" ht="12.75" customHeight="1" x14ac:dyDescent="0.2">
      <c r="C62390"/>
      <c r="M62390"/>
    </row>
    <row r="62391" spans="3:13" ht="12.75" customHeight="1" x14ac:dyDescent="0.2">
      <c r="C62391"/>
      <c r="M62391"/>
    </row>
    <row r="62392" spans="3:13" ht="12.75" customHeight="1" x14ac:dyDescent="0.2">
      <c r="C62392"/>
      <c r="M62392"/>
    </row>
    <row r="62393" spans="3:13" ht="12.75" customHeight="1" x14ac:dyDescent="0.2">
      <c r="C62393"/>
      <c r="M62393"/>
    </row>
    <row r="62394" spans="3:13" ht="12.75" customHeight="1" x14ac:dyDescent="0.2">
      <c r="C62394"/>
      <c r="M62394"/>
    </row>
    <row r="62395" spans="3:13" ht="12.75" customHeight="1" x14ac:dyDescent="0.2">
      <c r="C62395"/>
      <c r="M62395"/>
    </row>
    <row r="62396" spans="3:13" ht="12.75" customHeight="1" x14ac:dyDescent="0.2">
      <c r="C62396"/>
      <c r="M62396"/>
    </row>
    <row r="62397" spans="3:13" ht="12.75" customHeight="1" x14ac:dyDescent="0.2">
      <c r="C62397"/>
      <c r="M62397"/>
    </row>
    <row r="62398" spans="3:13" ht="12.75" customHeight="1" x14ac:dyDescent="0.2">
      <c r="C62398"/>
      <c r="M62398"/>
    </row>
    <row r="62399" spans="3:13" ht="12.75" customHeight="1" x14ac:dyDescent="0.2">
      <c r="C62399"/>
      <c r="M62399"/>
    </row>
    <row r="62400" spans="3:13" ht="12.75" customHeight="1" x14ac:dyDescent="0.2">
      <c r="C62400"/>
      <c r="M62400"/>
    </row>
    <row r="62401" spans="3:13" ht="12.75" customHeight="1" x14ac:dyDescent="0.2">
      <c r="C62401"/>
      <c r="M62401"/>
    </row>
    <row r="62402" spans="3:13" ht="12.75" customHeight="1" x14ac:dyDescent="0.2">
      <c r="C62402"/>
      <c r="M62402"/>
    </row>
    <row r="62403" spans="3:13" ht="12.75" customHeight="1" x14ac:dyDescent="0.2">
      <c r="C62403"/>
      <c r="M62403"/>
    </row>
    <row r="62404" spans="3:13" ht="12.75" customHeight="1" x14ac:dyDescent="0.2">
      <c r="C62404"/>
      <c r="M62404"/>
    </row>
    <row r="62405" spans="3:13" ht="12.75" customHeight="1" x14ac:dyDescent="0.2">
      <c r="C62405"/>
      <c r="M62405"/>
    </row>
    <row r="62406" spans="3:13" ht="12.75" customHeight="1" x14ac:dyDescent="0.2">
      <c r="C62406"/>
      <c r="M62406"/>
    </row>
    <row r="62407" spans="3:13" ht="12.75" customHeight="1" x14ac:dyDescent="0.2">
      <c r="C62407"/>
      <c r="M62407"/>
    </row>
    <row r="62408" spans="3:13" ht="12.75" customHeight="1" x14ac:dyDescent="0.2">
      <c r="C62408"/>
      <c r="M62408"/>
    </row>
    <row r="62409" spans="3:13" ht="12.75" customHeight="1" x14ac:dyDescent="0.2">
      <c r="C62409"/>
      <c r="M62409"/>
    </row>
    <row r="62410" spans="3:13" ht="12.75" customHeight="1" x14ac:dyDescent="0.2">
      <c r="C62410"/>
      <c r="M62410"/>
    </row>
    <row r="62411" spans="3:13" ht="12.75" customHeight="1" x14ac:dyDescent="0.2">
      <c r="C62411"/>
      <c r="M62411"/>
    </row>
    <row r="62412" spans="3:13" ht="12.75" customHeight="1" x14ac:dyDescent="0.2">
      <c r="C62412"/>
      <c r="M62412"/>
    </row>
    <row r="62413" spans="3:13" ht="12.75" customHeight="1" x14ac:dyDescent="0.2">
      <c r="C62413"/>
      <c r="M62413"/>
    </row>
    <row r="62414" spans="3:13" ht="12.75" customHeight="1" x14ac:dyDescent="0.2">
      <c r="C62414"/>
      <c r="M62414"/>
    </row>
    <row r="62415" spans="3:13" ht="12.75" customHeight="1" x14ac:dyDescent="0.2">
      <c r="C62415"/>
      <c r="M62415"/>
    </row>
    <row r="62416" spans="3:13" ht="12.75" customHeight="1" x14ac:dyDescent="0.2">
      <c r="C62416"/>
      <c r="M62416"/>
    </row>
    <row r="62417" spans="3:13" ht="12.75" customHeight="1" x14ac:dyDescent="0.2">
      <c r="C62417"/>
      <c r="M62417"/>
    </row>
    <row r="62418" spans="3:13" ht="12.75" customHeight="1" x14ac:dyDescent="0.2">
      <c r="C62418"/>
      <c r="M62418"/>
    </row>
    <row r="62419" spans="3:13" ht="12.75" customHeight="1" x14ac:dyDescent="0.2">
      <c r="C62419"/>
      <c r="M62419"/>
    </row>
    <row r="62420" spans="3:13" ht="12.75" customHeight="1" x14ac:dyDescent="0.2">
      <c r="C62420"/>
      <c r="M62420"/>
    </row>
    <row r="62421" spans="3:13" ht="12.75" customHeight="1" x14ac:dyDescent="0.2">
      <c r="C62421"/>
      <c r="M62421"/>
    </row>
    <row r="62422" spans="3:13" ht="12.75" customHeight="1" x14ac:dyDescent="0.2">
      <c r="C62422"/>
      <c r="M62422"/>
    </row>
    <row r="62423" spans="3:13" ht="12.75" customHeight="1" x14ac:dyDescent="0.2">
      <c r="C62423"/>
      <c r="M62423"/>
    </row>
    <row r="62424" spans="3:13" ht="12.75" customHeight="1" x14ac:dyDescent="0.2">
      <c r="C62424"/>
      <c r="M62424"/>
    </row>
    <row r="62425" spans="3:13" ht="12.75" customHeight="1" x14ac:dyDescent="0.2">
      <c r="C62425"/>
      <c r="M62425"/>
    </row>
    <row r="62426" spans="3:13" ht="12.75" customHeight="1" x14ac:dyDescent="0.2">
      <c r="C62426"/>
      <c r="M62426"/>
    </row>
    <row r="62427" spans="3:13" ht="12.75" customHeight="1" x14ac:dyDescent="0.2">
      <c r="C62427"/>
      <c r="M62427"/>
    </row>
    <row r="62428" spans="3:13" ht="12.75" customHeight="1" x14ac:dyDescent="0.2">
      <c r="C62428"/>
      <c r="M62428"/>
    </row>
    <row r="62429" spans="3:13" ht="12.75" customHeight="1" x14ac:dyDescent="0.2">
      <c r="C62429"/>
      <c r="M62429"/>
    </row>
    <row r="62430" spans="3:13" ht="12.75" customHeight="1" x14ac:dyDescent="0.2">
      <c r="C62430"/>
      <c r="M62430"/>
    </row>
    <row r="62431" spans="3:13" ht="12.75" customHeight="1" x14ac:dyDescent="0.2">
      <c r="C62431"/>
      <c r="M62431"/>
    </row>
    <row r="62432" spans="3:13" ht="12.75" customHeight="1" x14ac:dyDescent="0.2">
      <c r="C62432"/>
      <c r="M62432"/>
    </row>
    <row r="62433" spans="3:13" ht="12.75" customHeight="1" x14ac:dyDescent="0.2">
      <c r="C62433"/>
      <c r="M62433"/>
    </row>
    <row r="62434" spans="3:13" ht="12.75" customHeight="1" x14ac:dyDescent="0.2">
      <c r="C62434"/>
      <c r="M62434"/>
    </row>
    <row r="62435" spans="3:13" ht="12.75" customHeight="1" x14ac:dyDescent="0.2">
      <c r="C62435"/>
      <c r="M62435"/>
    </row>
    <row r="62436" spans="3:13" ht="12.75" customHeight="1" x14ac:dyDescent="0.2">
      <c r="C62436"/>
      <c r="M62436"/>
    </row>
    <row r="62437" spans="3:13" ht="12.75" customHeight="1" x14ac:dyDescent="0.2">
      <c r="C62437"/>
      <c r="M62437"/>
    </row>
    <row r="62438" spans="3:13" ht="12.75" customHeight="1" x14ac:dyDescent="0.2">
      <c r="C62438"/>
      <c r="M62438"/>
    </row>
    <row r="62439" spans="3:13" ht="12.75" customHeight="1" x14ac:dyDescent="0.2">
      <c r="C62439"/>
      <c r="M62439"/>
    </row>
    <row r="62440" spans="3:13" ht="12.75" customHeight="1" x14ac:dyDescent="0.2">
      <c r="C62440"/>
      <c r="M62440"/>
    </row>
    <row r="62441" spans="3:13" ht="12.75" customHeight="1" x14ac:dyDescent="0.2">
      <c r="C62441"/>
      <c r="M62441"/>
    </row>
    <row r="62442" spans="3:13" ht="12.75" customHeight="1" x14ac:dyDescent="0.2">
      <c r="C62442"/>
      <c r="M62442"/>
    </row>
    <row r="62443" spans="3:13" ht="12.75" customHeight="1" x14ac:dyDescent="0.2">
      <c r="C62443"/>
      <c r="M62443"/>
    </row>
    <row r="62444" spans="3:13" ht="12.75" customHeight="1" x14ac:dyDescent="0.2">
      <c r="C62444"/>
      <c r="M62444"/>
    </row>
    <row r="62445" spans="3:13" ht="12.75" customHeight="1" x14ac:dyDescent="0.2">
      <c r="C62445"/>
      <c r="M62445"/>
    </row>
    <row r="62446" spans="3:13" ht="12.75" customHeight="1" x14ac:dyDescent="0.2">
      <c r="C62446"/>
      <c r="M62446"/>
    </row>
    <row r="62447" spans="3:13" ht="12.75" customHeight="1" x14ac:dyDescent="0.2">
      <c r="C62447"/>
      <c r="M62447"/>
    </row>
    <row r="62448" spans="3:13" ht="12.75" customHeight="1" x14ac:dyDescent="0.2">
      <c r="C62448"/>
      <c r="M62448"/>
    </row>
    <row r="62449" spans="3:13" ht="12.75" customHeight="1" x14ac:dyDescent="0.2">
      <c r="C62449"/>
      <c r="M62449"/>
    </row>
    <row r="62450" spans="3:13" ht="12.75" customHeight="1" x14ac:dyDescent="0.2">
      <c r="C62450"/>
      <c r="M62450"/>
    </row>
    <row r="62451" spans="3:13" ht="12.75" customHeight="1" x14ac:dyDescent="0.2">
      <c r="C62451"/>
      <c r="M62451"/>
    </row>
    <row r="62452" spans="3:13" ht="12.75" customHeight="1" x14ac:dyDescent="0.2">
      <c r="C62452"/>
      <c r="M62452"/>
    </row>
    <row r="62453" spans="3:13" ht="12.75" customHeight="1" x14ac:dyDescent="0.2">
      <c r="C62453"/>
      <c r="M62453"/>
    </row>
    <row r="62454" spans="3:13" ht="12.75" customHeight="1" x14ac:dyDescent="0.2">
      <c r="C62454"/>
      <c r="M62454"/>
    </row>
    <row r="62455" spans="3:13" ht="12.75" customHeight="1" x14ac:dyDescent="0.2">
      <c r="C62455"/>
      <c r="M62455"/>
    </row>
    <row r="62456" spans="3:13" ht="12.75" customHeight="1" x14ac:dyDescent="0.2">
      <c r="C62456"/>
      <c r="M62456"/>
    </row>
    <row r="62457" spans="3:13" ht="12.75" customHeight="1" x14ac:dyDescent="0.2">
      <c r="C62457"/>
      <c r="M62457"/>
    </row>
    <row r="62458" spans="3:13" ht="12.75" customHeight="1" x14ac:dyDescent="0.2">
      <c r="C62458"/>
      <c r="M62458"/>
    </row>
    <row r="62459" spans="3:13" ht="12.75" customHeight="1" x14ac:dyDescent="0.2">
      <c r="C62459"/>
      <c r="M62459"/>
    </row>
    <row r="62460" spans="3:13" ht="12.75" customHeight="1" x14ac:dyDescent="0.2">
      <c r="C62460"/>
      <c r="M62460"/>
    </row>
    <row r="62461" spans="3:13" ht="12.75" customHeight="1" x14ac:dyDescent="0.2">
      <c r="C62461"/>
      <c r="M62461"/>
    </row>
    <row r="62462" spans="3:13" ht="12.75" customHeight="1" x14ac:dyDescent="0.2">
      <c r="C62462"/>
      <c r="M62462"/>
    </row>
    <row r="62463" spans="3:13" ht="12.75" customHeight="1" x14ac:dyDescent="0.2">
      <c r="C62463"/>
      <c r="M62463"/>
    </row>
    <row r="62464" spans="3:13" ht="12.75" customHeight="1" x14ac:dyDescent="0.2">
      <c r="C62464"/>
      <c r="M62464"/>
    </row>
    <row r="62465" spans="3:13" ht="12.75" customHeight="1" x14ac:dyDescent="0.2">
      <c r="C62465"/>
      <c r="M62465"/>
    </row>
    <row r="62466" spans="3:13" ht="12.75" customHeight="1" x14ac:dyDescent="0.2">
      <c r="C62466"/>
      <c r="M62466"/>
    </row>
    <row r="62467" spans="3:13" ht="12.75" customHeight="1" x14ac:dyDescent="0.2">
      <c r="C62467"/>
      <c r="M62467"/>
    </row>
    <row r="62468" spans="3:13" ht="12.75" customHeight="1" x14ac:dyDescent="0.2">
      <c r="C62468"/>
      <c r="M62468"/>
    </row>
    <row r="62469" spans="3:13" ht="12.75" customHeight="1" x14ac:dyDescent="0.2">
      <c r="C62469"/>
      <c r="M62469"/>
    </row>
    <row r="62470" spans="3:13" ht="12.75" customHeight="1" x14ac:dyDescent="0.2">
      <c r="C62470"/>
      <c r="M62470"/>
    </row>
    <row r="62471" spans="3:13" ht="12.75" customHeight="1" x14ac:dyDescent="0.2">
      <c r="C62471"/>
      <c r="M62471"/>
    </row>
    <row r="62472" spans="3:13" ht="12.75" customHeight="1" x14ac:dyDescent="0.2">
      <c r="C62472"/>
      <c r="M62472"/>
    </row>
    <row r="62473" spans="3:13" ht="12.75" customHeight="1" x14ac:dyDescent="0.2">
      <c r="C62473"/>
      <c r="M62473"/>
    </row>
    <row r="62474" spans="3:13" ht="12.75" customHeight="1" x14ac:dyDescent="0.2">
      <c r="C62474"/>
      <c r="M62474"/>
    </row>
    <row r="62475" spans="3:13" ht="12.75" customHeight="1" x14ac:dyDescent="0.2">
      <c r="C62475"/>
      <c r="M62475"/>
    </row>
    <row r="62476" spans="3:13" ht="12.75" customHeight="1" x14ac:dyDescent="0.2">
      <c r="C62476"/>
      <c r="M62476"/>
    </row>
    <row r="62477" spans="3:13" ht="12.75" customHeight="1" x14ac:dyDescent="0.2">
      <c r="C62477"/>
      <c r="M62477"/>
    </row>
    <row r="62478" spans="3:13" ht="12.75" customHeight="1" x14ac:dyDescent="0.2">
      <c r="C62478"/>
      <c r="M62478"/>
    </row>
    <row r="62479" spans="3:13" ht="12.75" customHeight="1" x14ac:dyDescent="0.2">
      <c r="C62479"/>
      <c r="M62479"/>
    </row>
    <row r="62480" spans="3:13" ht="12.75" customHeight="1" x14ac:dyDescent="0.2">
      <c r="C62480"/>
      <c r="M62480"/>
    </row>
    <row r="62481" spans="3:13" ht="12.75" customHeight="1" x14ac:dyDescent="0.2">
      <c r="C62481"/>
      <c r="M62481"/>
    </row>
    <row r="62482" spans="3:13" ht="12.75" customHeight="1" x14ac:dyDescent="0.2">
      <c r="C62482"/>
      <c r="M62482"/>
    </row>
    <row r="62483" spans="3:13" ht="12.75" customHeight="1" x14ac:dyDescent="0.2">
      <c r="C62483"/>
      <c r="M62483"/>
    </row>
    <row r="62484" spans="3:13" ht="12.75" customHeight="1" x14ac:dyDescent="0.2">
      <c r="C62484"/>
      <c r="M62484"/>
    </row>
    <row r="62485" spans="3:13" ht="12.75" customHeight="1" x14ac:dyDescent="0.2">
      <c r="C62485"/>
      <c r="M62485"/>
    </row>
    <row r="62486" spans="3:13" ht="12.75" customHeight="1" x14ac:dyDescent="0.2">
      <c r="C62486"/>
      <c r="M62486"/>
    </row>
    <row r="62487" spans="3:13" ht="12.75" customHeight="1" x14ac:dyDescent="0.2">
      <c r="C62487"/>
      <c r="M62487"/>
    </row>
    <row r="62488" spans="3:13" ht="12.75" customHeight="1" x14ac:dyDescent="0.2">
      <c r="C62488"/>
      <c r="M62488"/>
    </row>
    <row r="62489" spans="3:13" ht="12.75" customHeight="1" x14ac:dyDescent="0.2">
      <c r="C62489"/>
      <c r="M62489"/>
    </row>
    <row r="62490" spans="3:13" ht="12.75" customHeight="1" x14ac:dyDescent="0.2">
      <c r="C62490"/>
      <c r="M62490"/>
    </row>
    <row r="62491" spans="3:13" ht="12.75" customHeight="1" x14ac:dyDescent="0.2">
      <c r="C62491"/>
      <c r="M62491"/>
    </row>
    <row r="62492" spans="3:13" ht="12.75" customHeight="1" x14ac:dyDescent="0.2">
      <c r="C62492"/>
      <c r="M62492"/>
    </row>
    <row r="62493" spans="3:13" ht="12.75" customHeight="1" x14ac:dyDescent="0.2">
      <c r="C62493"/>
      <c r="M62493"/>
    </row>
    <row r="62494" spans="3:13" ht="12.75" customHeight="1" x14ac:dyDescent="0.2">
      <c r="C62494"/>
      <c r="M62494"/>
    </row>
    <row r="62495" spans="3:13" ht="12.75" customHeight="1" x14ac:dyDescent="0.2">
      <c r="C62495"/>
      <c r="M62495"/>
    </row>
    <row r="62496" spans="3:13" ht="12.75" customHeight="1" x14ac:dyDescent="0.2">
      <c r="C62496"/>
      <c r="M62496"/>
    </row>
    <row r="62497" spans="3:13" ht="12.75" customHeight="1" x14ac:dyDescent="0.2">
      <c r="C62497"/>
      <c r="M62497"/>
    </row>
    <row r="62498" spans="3:13" ht="12.75" customHeight="1" x14ac:dyDescent="0.2">
      <c r="C62498"/>
      <c r="M62498"/>
    </row>
    <row r="62499" spans="3:13" ht="12.75" customHeight="1" x14ac:dyDescent="0.2">
      <c r="C62499"/>
      <c r="M62499"/>
    </row>
    <row r="62500" spans="3:13" ht="12.75" customHeight="1" x14ac:dyDescent="0.2">
      <c r="C62500"/>
      <c r="M62500"/>
    </row>
    <row r="62501" spans="3:13" ht="12.75" customHeight="1" x14ac:dyDescent="0.2">
      <c r="C62501"/>
      <c r="M62501"/>
    </row>
    <row r="62502" spans="3:13" ht="12.75" customHeight="1" x14ac:dyDescent="0.2">
      <c r="C62502"/>
      <c r="M62502"/>
    </row>
    <row r="62503" spans="3:13" ht="12.75" customHeight="1" x14ac:dyDescent="0.2">
      <c r="C62503"/>
      <c r="M62503"/>
    </row>
    <row r="62504" spans="3:13" ht="12.75" customHeight="1" x14ac:dyDescent="0.2">
      <c r="C62504"/>
      <c r="M62504"/>
    </row>
    <row r="62505" spans="3:13" ht="12.75" customHeight="1" x14ac:dyDescent="0.2">
      <c r="C62505"/>
      <c r="M62505"/>
    </row>
    <row r="62506" spans="3:13" ht="12.75" customHeight="1" x14ac:dyDescent="0.2">
      <c r="C62506"/>
      <c r="M62506"/>
    </row>
    <row r="62507" spans="3:13" ht="12.75" customHeight="1" x14ac:dyDescent="0.2">
      <c r="C62507"/>
      <c r="M62507"/>
    </row>
    <row r="62508" spans="3:13" ht="12.75" customHeight="1" x14ac:dyDescent="0.2">
      <c r="C62508"/>
      <c r="M62508"/>
    </row>
    <row r="62509" spans="3:13" ht="12.75" customHeight="1" x14ac:dyDescent="0.2">
      <c r="C62509"/>
      <c r="M62509"/>
    </row>
    <row r="62510" spans="3:13" ht="12.75" customHeight="1" x14ac:dyDescent="0.2">
      <c r="C62510"/>
      <c r="M62510"/>
    </row>
    <row r="62511" spans="3:13" ht="12.75" customHeight="1" x14ac:dyDescent="0.2">
      <c r="C62511"/>
      <c r="M62511"/>
    </row>
    <row r="62512" spans="3:13" ht="12.75" customHeight="1" x14ac:dyDescent="0.2">
      <c r="C62512"/>
      <c r="M62512"/>
    </row>
    <row r="62513" spans="3:13" ht="12.75" customHeight="1" x14ac:dyDescent="0.2">
      <c r="C62513"/>
      <c r="M62513"/>
    </row>
    <row r="62514" spans="3:13" ht="12.75" customHeight="1" x14ac:dyDescent="0.2">
      <c r="C62514"/>
      <c r="M62514"/>
    </row>
    <row r="62515" spans="3:13" ht="12.75" customHeight="1" x14ac:dyDescent="0.2">
      <c r="C62515"/>
      <c r="M62515"/>
    </row>
    <row r="62516" spans="3:13" ht="12.75" customHeight="1" x14ac:dyDescent="0.2">
      <c r="C62516"/>
      <c r="M62516"/>
    </row>
    <row r="62517" spans="3:13" ht="12.75" customHeight="1" x14ac:dyDescent="0.2">
      <c r="C62517"/>
      <c r="M62517"/>
    </row>
    <row r="62518" spans="3:13" ht="12.75" customHeight="1" x14ac:dyDescent="0.2">
      <c r="C62518"/>
      <c r="M62518"/>
    </row>
    <row r="62519" spans="3:13" ht="12.75" customHeight="1" x14ac:dyDescent="0.2">
      <c r="C62519"/>
      <c r="M62519"/>
    </row>
    <row r="62520" spans="3:13" ht="12.75" customHeight="1" x14ac:dyDescent="0.2">
      <c r="C62520"/>
      <c r="M62520"/>
    </row>
    <row r="62521" spans="3:13" ht="12.75" customHeight="1" x14ac:dyDescent="0.2">
      <c r="C62521"/>
      <c r="M62521"/>
    </row>
    <row r="62522" spans="3:13" ht="12.75" customHeight="1" x14ac:dyDescent="0.2">
      <c r="C62522"/>
      <c r="M62522"/>
    </row>
    <row r="62523" spans="3:13" ht="12.75" customHeight="1" x14ac:dyDescent="0.2">
      <c r="C62523"/>
      <c r="M62523"/>
    </row>
    <row r="62524" spans="3:13" ht="12.75" customHeight="1" x14ac:dyDescent="0.2">
      <c r="C62524"/>
      <c r="M62524"/>
    </row>
    <row r="62525" spans="3:13" ht="12.75" customHeight="1" x14ac:dyDescent="0.2">
      <c r="C62525"/>
      <c r="M62525"/>
    </row>
    <row r="62526" spans="3:13" ht="12.75" customHeight="1" x14ac:dyDescent="0.2">
      <c r="C62526"/>
      <c r="M62526"/>
    </row>
    <row r="62527" spans="3:13" ht="12.75" customHeight="1" x14ac:dyDescent="0.2">
      <c r="C62527"/>
      <c r="M62527"/>
    </row>
    <row r="62528" spans="3:13" ht="12.75" customHeight="1" x14ac:dyDescent="0.2">
      <c r="C62528"/>
      <c r="M62528"/>
    </row>
    <row r="62529" spans="3:13" ht="12.75" customHeight="1" x14ac:dyDescent="0.2">
      <c r="C62529"/>
      <c r="M62529"/>
    </row>
    <row r="62530" spans="3:13" ht="12.75" customHeight="1" x14ac:dyDescent="0.2">
      <c r="C62530"/>
      <c r="M62530"/>
    </row>
    <row r="62531" spans="3:13" ht="12.75" customHeight="1" x14ac:dyDescent="0.2">
      <c r="C62531"/>
      <c r="M62531"/>
    </row>
    <row r="62532" spans="3:13" ht="12.75" customHeight="1" x14ac:dyDescent="0.2">
      <c r="C62532"/>
      <c r="M62532"/>
    </row>
    <row r="62533" spans="3:13" ht="12.75" customHeight="1" x14ac:dyDescent="0.2">
      <c r="C62533"/>
      <c r="M62533"/>
    </row>
    <row r="62534" spans="3:13" ht="12.75" customHeight="1" x14ac:dyDescent="0.2">
      <c r="C62534"/>
      <c r="M62534"/>
    </row>
    <row r="62535" spans="3:13" ht="12.75" customHeight="1" x14ac:dyDescent="0.2">
      <c r="C62535"/>
      <c r="M62535"/>
    </row>
    <row r="62536" spans="3:13" ht="12.75" customHeight="1" x14ac:dyDescent="0.2">
      <c r="C62536"/>
      <c r="M62536"/>
    </row>
    <row r="62537" spans="3:13" ht="12.75" customHeight="1" x14ac:dyDescent="0.2">
      <c r="C62537"/>
      <c r="M62537"/>
    </row>
    <row r="62538" spans="3:13" ht="12.75" customHeight="1" x14ac:dyDescent="0.2">
      <c r="C62538"/>
      <c r="M62538"/>
    </row>
    <row r="62539" spans="3:13" ht="12.75" customHeight="1" x14ac:dyDescent="0.2">
      <c r="C62539"/>
      <c r="M62539"/>
    </row>
    <row r="62540" spans="3:13" ht="12.75" customHeight="1" x14ac:dyDescent="0.2">
      <c r="C62540"/>
      <c r="M62540"/>
    </row>
    <row r="62541" spans="3:13" ht="12.75" customHeight="1" x14ac:dyDescent="0.2">
      <c r="C62541"/>
      <c r="M62541"/>
    </row>
    <row r="62542" spans="3:13" ht="12.75" customHeight="1" x14ac:dyDescent="0.2">
      <c r="C62542"/>
      <c r="M62542"/>
    </row>
    <row r="62543" spans="3:13" ht="12.75" customHeight="1" x14ac:dyDescent="0.2">
      <c r="C62543"/>
      <c r="M62543"/>
    </row>
    <row r="62544" spans="3:13" ht="12.75" customHeight="1" x14ac:dyDescent="0.2">
      <c r="C62544"/>
      <c r="M62544"/>
    </row>
    <row r="62545" spans="3:13" ht="12.75" customHeight="1" x14ac:dyDescent="0.2">
      <c r="C62545"/>
      <c r="M62545"/>
    </row>
    <row r="62546" spans="3:13" ht="12.75" customHeight="1" x14ac:dyDescent="0.2">
      <c r="C62546"/>
      <c r="M62546"/>
    </row>
    <row r="62547" spans="3:13" ht="12.75" customHeight="1" x14ac:dyDescent="0.2">
      <c r="C62547"/>
      <c r="M62547"/>
    </row>
    <row r="62548" spans="3:13" ht="12.75" customHeight="1" x14ac:dyDescent="0.2">
      <c r="C62548"/>
      <c r="M62548"/>
    </row>
    <row r="62549" spans="3:13" ht="12.75" customHeight="1" x14ac:dyDescent="0.2">
      <c r="C62549"/>
      <c r="M62549"/>
    </row>
    <row r="62550" spans="3:13" ht="12.75" customHeight="1" x14ac:dyDescent="0.2">
      <c r="C62550"/>
      <c r="M62550"/>
    </row>
    <row r="62551" spans="3:13" ht="12.75" customHeight="1" x14ac:dyDescent="0.2">
      <c r="C62551"/>
      <c r="M62551"/>
    </row>
    <row r="62552" spans="3:13" ht="12.75" customHeight="1" x14ac:dyDescent="0.2">
      <c r="C62552"/>
      <c r="M62552"/>
    </row>
    <row r="62553" spans="3:13" ht="12.75" customHeight="1" x14ac:dyDescent="0.2">
      <c r="C62553"/>
      <c r="M62553"/>
    </row>
    <row r="62554" spans="3:13" ht="12.75" customHeight="1" x14ac:dyDescent="0.2">
      <c r="C62554"/>
      <c r="M62554"/>
    </row>
    <row r="62555" spans="3:13" ht="12.75" customHeight="1" x14ac:dyDescent="0.2">
      <c r="C62555"/>
      <c r="M62555"/>
    </row>
    <row r="62556" spans="3:13" ht="12.75" customHeight="1" x14ac:dyDescent="0.2">
      <c r="C62556"/>
      <c r="M62556"/>
    </row>
    <row r="62557" spans="3:13" ht="12.75" customHeight="1" x14ac:dyDescent="0.2">
      <c r="C62557"/>
      <c r="M62557"/>
    </row>
    <row r="62558" spans="3:13" ht="12.75" customHeight="1" x14ac:dyDescent="0.2">
      <c r="C62558"/>
      <c r="M62558"/>
    </row>
    <row r="62559" spans="3:13" ht="12.75" customHeight="1" x14ac:dyDescent="0.2">
      <c r="C62559"/>
      <c r="M62559"/>
    </row>
    <row r="62560" spans="3:13" ht="12.75" customHeight="1" x14ac:dyDescent="0.2">
      <c r="C62560"/>
      <c r="M62560"/>
    </row>
    <row r="62561" spans="3:13" ht="12.75" customHeight="1" x14ac:dyDescent="0.2">
      <c r="C62561"/>
      <c r="M62561"/>
    </row>
    <row r="62562" spans="3:13" ht="12.75" customHeight="1" x14ac:dyDescent="0.2">
      <c r="C62562"/>
      <c r="M62562"/>
    </row>
    <row r="62563" spans="3:13" ht="12.75" customHeight="1" x14ac:dyDescent="0.2">
      <c r="C62563"/>
      <c r="M62563"/>
    </row>
    <row r="62564" spans="3:13" ht="12.75" customHeight="1" x14ac:dyDescent="0.2">
      <c r="C62564"/>
      <c r="M62564"/>
    </row>
    <row r="62565" spans="3:13" ht="12.75" customHeight="1" x14ac:dyDescent="0.2">
      <c r="C62565"/>
      <c r="M62565"/>
    </row>
    <row r="62566" spans="3:13" ht="12.75" customHeight="1" x14ac:dyDescent="0.2">
      <c r="C62566"/>
      <c r="M62566"/>
    </row>
    <row r="62567" spans="3:13" ht="12.75" customHeight="1" x14ac:dyDescent="0.2">
      <c r="C62567"/>
      <c r="M62567"/>
    </row>
    <row r="62568" spans="3:13" ht="12.75" customHeight="1" x14ac:dyDescent="0.2">
      <c r="C62568"/>
      <c r="M62568"/>
    </row>
    <row r="62569" spans="3:13" ht="12.75" customHeight="1" x14ac:dyDescent="0.2">
      <c r="C62569"/>
      <c r="M62569"/>
    </row>
    <row r="62570" spans="3:13" ht="12.75" customHeight="1" x14ac:dyDescent="0.2">
      <c r="C62570"/>
      <c r="M62570"/>
    </row>
    <row r="62571" spans="3:13" ht="12.75" customHeight="1" x14ac:dyDescent="0.2">
      <c r="C62571"/>
      <c r="M62571"/>
    </row>
    <row r="62572" spans="3:13" ht="12.75" customHeight="1" x14ac:dyDescent="0.2">
      <c r="C62572"/>
      <c r="M62572"/>
    </row>
    <row r="62573" spans="3:13" ht="12.75" customHeight="1" x14ac:dyDescent="0.2">
      <c r="C62573"/>
      <c r="M62573"/>
    </row>
    <row r="62574" spans="3:13" ht="12.75" customHeight="1" x14ac:dyDescent="0.2">
      <c r="C62574"/>
      <c r="M62574"/>
    </row>
    <row r="62575" spans="3:13" ht="12.75" customHeight="1" x14ac:dyDescent="0.2">
      <c r="C62575"/>
      <c r="M62575"/>
    </row>
    <row r="62576" spans="3:13" ht="12.75" customHeight="1" x14ac:dyDescent="0.2">
      <c r="C62576"/>
      <c r="M62576"/>
    </row>
    <row r="62577" spans="3:13" ht="12.75" customHeight="1" x14ac:dyDescent="0.2">
      <c r="C62577"/>
      <c r="M62577"/>
    </row>
    <row r="62578" spans="3:13" ht="12.75" customHeight="1" x14ac:dyDescent="0.2">
      <c r="C62578"/>
      <c r="M62578"/>
    </row>
    <row r="62579" spans="3:13" ht="12.75" customHeight="1" x14ac:dyDescent="0.2">
      <c r="C62579"/>
      <c r="M62579"/>
    </row>
    <row r="62580" spans="3:13" ht="12.75" customHeight="1" x14ac:dyDescent="0.2">
      <c r="C62580"/>
      <c r="M62580"/>
    </row>
    <row r="62581" spans="3:13" ht="12.75" customHeight="1" x14ac:dyDescent="0.2">
      <c r="C62581"/>
      <c r="M62581"/>
    </row>
    <row r="62582" spans="3:13" ht="12.75" customHeight="1" x14ac:dyDescent="0.2">
      <c r="C62582"/>
      <c r="M62582"/>
    </row>
    <row r="62583" spans="3:13" ht="12.75" customHeight="1" x14ac:dyDescent="0.2">
      <c r="C62583"/>
      <c r="M62583"/>
    </row>
    <row r="62584" spans="3:13" ht="12.75" customHeight="1" x14ac:dyDescent="0.2">
      <c r="C62584"/>
      <c r="M62584"/>
    </row>
    <row r="62585" spans="3:13" ht="12.75" customHeight="1" x14ac:dyDescent="0.2">
      <c r="C62585"/>
      <c r="M62585"/>
    </row>
    <row r="62586" spans="3:13" ht="12.75" customHeight="1" x14ac:dyDescent="0.2">
      <c r="C62586"/>
      <c r="M62586"/>
    </row>
    <row r="62587" spans="3:13" ht="12.75" customHeight="1" x14ac:dyDescent="0.2">
      <c r="C62587"/>
      <c r="M62587"/>
    </row>
    <row r="62588" spans="3:13" ht="12.75" customHeight="1" x14ac:dyDescent="0.2">
      <c r="C62588"/>
      <c r="M62588"/>
    </row>
    <row r="62589" spans="3:13" ht="12.75" customHeight="1" x14ac:dyDescent="0.2">
      <c r="C62589"/>
      <c r="M62589"/>
    </row>
    <row r="62590" spans="3:13" ht="12.75" customHeight="1" x14ac:dyDescent="0.2">
      <c r="C62590"/>
      <c r="M62590"/>
    </row>
    <row r="62591" spans="3:13" ht="12.75" customHeight="1" x14ac:dyDescent="0.2">
      <c r="C62591"/>
      <c r="M62591"/>
    </row>
    <row r="62592" spans="3:13" ht="12.75" customHeight="1" x14ac:dyDescent="0.2">
      <c r="C62592"/>
      <c r="M62592"/>
    </row>
    <row r="62593" spans="3:13" ht="12.75" customHeight="1" x14ac:dyDescent="0.2">
      <c r="C62593"/>
      <c r="M62593"/>
    </row>
    <row r="62594" spans="3:13" ht="12.75" customHeight="1" x14ac:dyDescent="0.2">
      <c r="C62594"/>
      <c r="M62594"/>
    </row>
    <row r="62595" spans="3:13" ht="12.75" customHeight="1" x14ac:dyDescent="0.2">
      <c r="C62595"/>
      <c r="M62595"/>
    </row>
    <row r="62596" spans="3:13" ht="12.75" customHeight="1" x14ac:dyDescent="0.2">
      <c r="C62596"/>
      <c r="M62596"/>
    </row>
    <row r="62597" spans="3:13" ht="12.75" customHeight="1" x14ac:dyDescent="0.2">
      <c r="C62597"/>
      <c r="M62597"/>
    </row>
    <row r="62598" spans="3:13" ht="12.75" customHeight="1" x14ac:dyDescent="0.2">
      <c r="C62598"/>
      <c r="M62598"/>
    </row>
    <row r="62599" spans="3:13" ht="12.75" customHeight="1" x14ac:dyDescent="0.2">
      <c r="C62599"/>
      <c r="M62599"/>
    </row>
    <row r="62600" spans="3:13" ht="12.75" customHeight="1" x14ac:dyDescent="0.2">
      <c r="C62600"/>
      <c r="M62600"/>
    </row>
    <row r="62601" spans="3:13" ht="12.75" customHeight="1" x14ac:dyDescent="0.2">
      <c r="C62601"/>
      <c r="M62601"/>
    </row>
    <row r="62602" spans="3:13" ht="12.75" customHeight="1" x14ac:dyDescent="0.2">
      <c r="C62602"/>
      <c r="M62602"/>
    </row>
    <row r="62603" spans="3:13" ht="12.75" customHeight="1" x14ac:dyDescent="0.2">
      <c r="C62603"/>
      <c r="M62603"/>
    </row>
    <row r="62604" spans="3:13" ht="12.75" customHeight="1" x14ac:dyDescent="0.2">
      <c r="C62604"/>
      <c r="M62604"/>
    </row>
    <row r="62605" spans="3:13" ht="12.75" customHeight="1" x14ac:dyDescent="0.2">
      <c r="C62605"/>
      <c r="M62605"/>
    </row>
    <row r="62606" spans="3:13" ht="12.75" customHeight="1" x14ac:dyDescent="0.2">
      <c r="C62606"/>
      <c r="M62606"/>
    </row>
    <row r="62607" spans="3:13" ht="12.75" customHeight="1" x14ac:dyDescent="0.2">
      <c r="C62607"/>
      <c r="M62607"/>
    </row>
    <row r="62608" spans="3:13" ht="12.75" customHeight="1" x14ac:dyDescent="0.2">
      <c r="C62608"/>
      <c r="M62608"/>
    </row>
    <row r="62609" spans="3:13" ht="12.75" customHeight="1" x14ac:dyDescent="0.2">
      <c r="C62609"/>
      <c r="M62609"/>
    </row>
    <row r="62610" spans="3:13" ht="12.75" customHeight="1" x14ac:dyDescent="0.2">
      <c r="C62610"/>
      <c r="M62610"/>
    </row>
    <row r="62611" spans="3:13" ht="12.75" customHeight="1" x14ac:dyDescent="0.2">
      <c r="C62611"/>
      <c r="M62611"/>
    </row>
    <row r="62612" spans="3:13" ht="12.75" customHeight="1" x14ac:dyDescent="0.2">
      <c r="C62612"/>
      <c r="M62612"/>
    </row>
    <row r="62613" spans="3:13" ht="12.75" customHeight="1" x14ac:dyDescent="0.2">
      <c r="C62613"/>
      <c r="M62613"/>
    </row>
    <row r="62614" spans="3:13" ht="12.75" customHeight="1" x14ac:dyDescent="0.2">
      <c r="C62614"/>
      <c r="M62614"/>
    </row>
    <row r="62615" spans="3:13" ht="12.75" customHeight="1" x14ac:dyDescent="0.2">
      <c r="C62615"/>
      <c r="M62615"/>
    </row>
    <row r="62616" spans="3:13" ht="12.75" customHeight="1" x14ac:dyDescent="0.2">
      <c r="C62616"/>
      <c r="M62616"/>
    </row>
    <row r="62617" spans="3:13" ht="12.75" customHeight="1" x14ac:dyDescent="0.2">
      <c r="C62617"/>
      <c r="M62617"/>
    </row>
    <row r="62618" spans="3:13" ht="12.75" customHeight="1" x14ac:dyDescent="0.2">
      <c r="C62618"/>
      <c r="M62618"/>
    </row>
    <row r="62619" spans="3:13" ht="12.75" customHeight="1" x14ac:dyDescent="0.2">
      <c r="C62619"/>
      <c r="M62619"/>
    </row>
    <row r="62620" spans="3:13" ht="12.75" customHeight="1" x14ac:dyDescent="0.2">
      <c r="C62620"/>
      <c r="M62620"/>
    </row>
    <row r="62621" spans="3:13" ht="12.75" customHeight="1" x14ac:dyDescent="0.2">
      <c r="C62621"/>
      <c r="M62621"/>
    </row>
    <row r="62622" spans="3:13" ht="12.75" customHeight="1" x14ac:dyDescent="0.2">
      <c r="C62622"/>
      <c r="M62622"/>
    </row>
    <row r="62623" spans="3:13" ht="12.75" customHeight="1" x14ac:dyDescent="0.2">
      <c r="C62623"/>
      <c r="M62623"/>
    </row>
    <row r="62624" spans="3:13" ht="12.75" customHeight="1" x14ac:dyDescent="0.2">
      <c r="C62624"/>
      <c r="M62624"/>
    </row>
    <row r="62625" spans="3:13" ht="12.75" customHeight="1" x14ac:dyDescent="0.2">
      <c r="C62625"/>
      <c r="M62625"/>
    </row>
    <row r="62626" spans="3:13" ht="12.75" customHeight="1" x14ac:dyDescent="0.2">
      <c r="C62626"/>
      <c r="M62626"/>
    </row>
    <row r="62627" spans="3:13" ht="12.75" customHeight="1" x14ac:dyDescent="0.2">
      <c r="C62627"/>
      <c r="M62627"/>
    </row>
    <row r="62628" spans="3:13" ht="12.75" customHeight="1" x14ac:dyDescent="0.2">
      <c r="C62628"/>
      <c r="M62628"/>
    </row>
    <row r="62629" spans="3:13" ht="12.75" customHeight="1" x14ac:dyDescent="0.2">
      <c r="C62629"/>
      <c r="M62629"/>
    </row>
    <row r="62630" spans="3:13" ht="12.75" customHeight="1" x14ac:dyDescent="0.2">
      <c r="C62630"/>
      <c r="M62630"/>
    </row>
    <row r="62631" spans="3:13" ht="12.75" customHeight="1" x14ac:dyDescent="0.2">
      <c r="C62631"/>
      <c r="M62631"/>
    </row>
    <row r="62632" spans="3:13" ht="12.75" customHeight="1" x14ac:dyDescent="0.2">
      <c r="C62632"/>
      <c r="M62632"/>
    </row>
    <row r="62633" spans="3:13" ht="12.75" customHeight="1" x14ac:dyDescent="0.2">
      <c r="C62633"/>
      <c r="M62633"/>
    </row>
    <row r="62634" spans="3:13" ht="12.75" customHeight="1" x14ac:dyDescent="0.2">
      <c r="C62634"/>
      <c r="M62634"/>
    </row>
    <row r="62635" spans="3:13" ht="12.75" customHeight="1" x14ac:dyDescent="0.2">
      <c r="C62635"/>
      <c r="M62635"/>
    </row>
    <row r="62636" spans="3:13" ht="12.75" customHeight="1" x14ac:dyDescent="0.2">
      <c r="C62636"/>
      <c r="M62636"/>
    </row>
    <row r="62637" spans="3:13" ht="12.75" customHeight="1" x14ac:dyDescent="0.2">
      <c r="C62637"/>
      <c r="M62637"/>
    </row>
    <row r="62638" spans="3:13" ht="12.75" customHeight="1" x14ac:dyDescent="0.2">
      <c r="C62638"/>
      <c r="M62638"/>
    </row>
    <row r="62639" spans="3:13" ht="12.75" customHeight="1" x14ac:dyDescent="0.2">
      <c r="C62639"/>
      <c r="M62639"/>
    </row>
    <row r="62640" spans="3:13" ht="12.75" customHeight="1" x14ac:dyDescent="0.2">
      <c r="C62640"/>
      <c r="M62640"/>
    </row>
    <row r="62641" spans="3:13" ht="12.75" customHeight="1" x14ac:dyDescent="0.2">
      <c r="C62641"/>
      <c r="M62641"/>
    </row>
    <row r="62642" spans="3:13" ht="12.75" customHeight="1" x14ac:dyDescent="0.2">
      <c r="C62642"/>
      <c r="M62642"/>
    </row>
    <row r="62643" spans="3:13" ht="12.75" customHeight="1" x14ac:dyDescent="0.2">
      <c r="C62643"/>
      <c r="M62643"/>
    </row>
    <row r="62644" spans="3:13" ht="12.75" customHeight="1" x14ac:dyDescent="0.2">
      <c r="C62644"/>
      <c r="M62644"/>
    </row>
    <row r="62645" spans="3:13" ht="12.75" customHeight="1" x14ac:dyDescent="0.2">
      <c r="C62645"/>
      <c r="M62645"/>
    </row>
    <row r="62646" spans="3:13" ht="12.75" customHeight="1" x14ac:dyDescent="0.2">
      <c r="C62646"/>
      <c r="M62646"/>
    </row>
    <row r="62647" spans="3:13" ht="12.75" customHeight="1" x14ac:dyDescent="0.2">
      <c r="C62647"/>
      <c r="M62647"/>
    </row>
    <row r="62648" spans="3:13" ht="12.75" customHeight="1" x14ac:dyDescent="0.2">
      <c r="C62648"/>
      <c r="M62648"/>
    </row>
    <row r="62649" spans="3:13" ht="12.75" customHeight="1" x14ac:dyDescent="0.2">
      <c r="C62649"/>
      <c r="M62649"/>
    </row>
    <row r="62650" spans="3:13" ht="12.75" customHeight="1" x14ac:dyDescent="0.2">
      <c r="C62650"/>
      <c r="M62650"/>
    </row>
    <row r="62651" spans="3:13" ht="12.75" customHeight="1" x14ac:dyDescent="0.2">
      <c r="C62651"/>
      <c r="M62651"/>
    </row>
    <row r="62652" spans="3:13" ht="12.75" customHeight="1" x14ac:dyDescent="0.2">
      <c r="C62652"/>
      <c r="M62652"/>
    </row>
    <row r="62653" spans="3:13" ht="12.75" customHeight="1" x14ac:dyDescent="0.2">
      <c r="C62653"/>
      <c r="M62653"/>
    </row>
    <row r="62654" spans="3:13" ht="12.75" customHeight="1" x14ac:dyDescent="0.2">
      <c r="C62654"/>
      <c r="M62654"/>
    </row>
    <row r="62655" spans="3:13" ht="12.75" customHeight="1" x14ac:dyDescent="0.2">
      <c r="C62655"/>
      <c r="M62655"/>
    </row>
    <row r="62656" spans="3:13" ht="12.75" customHeight="1" x14ac:dyDescent="0.2">
      <c r="C62656"/>
      <c r="M62656"/>
    </row>
    <row r="62657" spans="3:13" ht="12.75" customHeight="1" x14ac:dyDescent="0.2">
      <c r="C62657"/>
      <c r="M62657"/>
    </row>
    <row r="62658" spans="3:13" ht="12.75" customHeight="1" x14ac:dyDescent="0.2">
      <c r="C62658"/>
      <c r="M62658"/>
    </row>
    <row r="62659" spans="3:13" ht="12.75" customHeight="1" x14ac:dyDescent="0.2">
      <c r="C62659"/>
      <c r="M62659"/>
    </row>
    <row r="62660" spans="3:13" ht="12.75" customHeight="1" x14ac:dyDescent="0.2">
      <c r="C62660"/>
      <c r="M62660"/>
    </row>
    <row r="62661" spans="3:13" ht="12.75" customHeight="1" x14ac:dyDescent="0.2">
      <c r="C62661"/>
      <c r="M62661"/>
    </row>
    <row r="62662" spans="3:13" ht="12.75" customHeight="1" x14ac:dyDescent="0.2">
      <c r="C62662"/>
      <c r="M62662"/>
    </row>
    <row r="62663" spans="3:13" ht="12.75" customHeight="1" x14ac:dyDescent="0.2">
      <c r="C62663"/>
      <c r="M62663"/>
    </row>
    <row r="62664" spans="3:13" ht="12.75" customHeight="1" x14ac:dyDescent="0.2">
      <c r="C62664"/>
      <c r="M62664"/>
    </row>
    <row r="62665" spans="3:13" ht="12.75" customHeight="1" x14ac:dyDescent="0.2">
      <c r="C62665"/>
      <c r="M62665"/>
    </row>
    <row r="62666" spans="3:13" ht="12.75" customHeight="1" x14ac:dyDescent="0.2">
      <c r="C62666"/>
      <c r="M62666"/>
    </row>
    <row r="62667" spans="3:13" ht="12.75" customHeight="1" x14ac:dyDescent="0.2">
      <c r="C62667"/>
      <c r="M62667"/>
    </row>
    <row r="62668" spans="3:13" ht="12.75" customHeight="1" x14ac:dyDescent="0.2">
      <c r="C62668"/>
      <c r="M62668"/>
    </row>
    <row r="62669" spans="3:13" ht="12.75" customHeight="1" x14ac:dyDescent="0.2">
      <c r="C62669"/>
      <c r="M62669"/>
    </row>
    <row r="62670" spans="3:13" ht="12.75" customHeight="1" x14ac:dyDescent="0.2">
      <c r="C62670"/>
      <c r="M62670"/>
    </row>
    <row r="62671" spans="3:13" ht="12.75" customHeight="1" x14ac:dyDescent="0.2">
      <c r="C62671"/>
      <c r="M62671"/>
    </row>
    <row r="62672" spans="3:13" ht="12.75" customHeight="1" x14ac:dyDescent="0.2">
      <c r="C62672"/>
      <c r="M62672"/>
    </row>
    <row r="62673" spans="3:13" ht="12.75" customHeight="1" x14ac:dyDescent="0.2">
      <c r="C62673"/>
      <c r="M62673"/>
    </row>
    <row r="62674" spans="3:13" ht="12.75" customHeight="1" x14ac:dyDescent="0.2">
      <c r="C62674"/>
      <c r="M62674"/>
    </row>
    <row r="62675" spans="3:13" ht="12.75" customHeight="1" x14ac:dyDescent="0.2">
      <c r="C62675"/>
      <c r="M62675"/>
    </row>
    <row r="62676" spans="3:13" ht="12.75" customHeight="1" x14ac:dyDescent="0.2">
      <c r="C62676"/>
      <c r="M62676"/>
    </row>
    <row r="62677" spans="3:13" ht="12.75" customHeight="1" x14ac:dyDescent="0.2">
      <c r="C62677"/>
      <c r="M62677"/>
    </row>
    <row r="62678" spans="3:13" ht="12.75" customHeight="1" x14ac:dyDescent="0.2">
      <c r="C62678"/>
      <c r="M62678"/>
    </row>
    <row r="62679" spans="3:13" ht="12.75" customHeight="1" x14ac:dyDescent="0.2">
      <c r="C62679"/>
      <c r="M62679"/>
    </row>
    <row r="62680" spans="3:13" ht="12.75" customHeight="1" x14ac:dyDescent="0.2">
      <c r="C62680"/>
      <c r="M62680"/>
    </row>
    <row r="62681" spans="3:13" ht="12.75" customHeight="1" x14ac:dyDescent="0.2">
      <c r="C62681"/>
      <c r="M62681"/>
    </row>
    <row r="62682" spans="3:13" ht="12.75" customHeight="1" x14ac:dyDescent="0.2">
      <c r="C62682"/>
      <c r="M62682"/>
    </row>
    <row r="62683" spans="3:13" ht="12.75" customHeight="1" x14ac:dyDescent="0.2">
      <c r="C62683"/>
      <c r="M62683"/>
    </row>
    <row r="62684" spans="3:13" ht="12.75" customHeight="1" x14ac:dyDescent="0.2">
      <c r="C62684"/>
      <c r="M62684"/>
    </row>
    <row r="62685" spans="3:13" ht="12.75" customHeight="1" x14ac:dyDescent="0.2">
      <c r="C62685"/>
      <c r="M62685"/>
    </row>
    <row r="62686" spans="3:13" ht="12.75" customHeight="1" x14ac:dyDescent="0.2">
      <c r="C62686"/>
      <c r="M62686"/>
    </row>
    <row r="62687" spans="3:13" ht="12.75" customHeight="1" x14ac:dyDescent="0.2">
      <c r="C62687"/>
      <c r="M62687"/>
    </row>
    <row r="62688" spans="3:13" ht="12.75" customHeight="1" x14ac:dyDescent="0.2">
      <c r="C62688"/>
      <c r="M62688"/>
    </row>
    <row r="62689" spans="3:13" ht="12.75" customHeight="1" x14ac:dyDescent="0.2">
      <c r="C62689"/>
      <c r="M62689"/>
    </row>
    <row r="62690" spans="3:13" ht="12.75" customHeight="1" x14ac:dyDescent="0.2">
      <c r="C62690"/>
      <c r="M62690"/>
    </row>
    <row r="62691" spans="3:13" ht="12.75" customHeight="1" x14ac:dyDescent="0.2">
      <c r="C62691"/>
      <c r="M62691"/>
    </row>
    <row r="62692" spans="3:13" ht="12.75" customHeight="1" x14ac:dyDescent="0.2">
      <c r="C62692"/>
      <c r="M62692"/>
    </row>
    <row r="62693" spans="3:13" ht="12.75" customHeight="1" x14ac:dyDescent="0.2">
      <c r="C62693"/>
      <c r="M62693"/>
    </row>
    <row r="62694" spans="3:13" ht="12.75" customHeight="1" x14ac:dyDescent="0.2">
      <c r="C62694"/>
      <c r="M62694"/>
    </row>
    <row r="62695" spans="3:13" ht="12.75" customHeight="1" x14ac:dyDescent="0.2">
      <c r="C62695"/>
      <c r="M62695"/>
    </row>
    <row r="62696" spans="3:13" ht="12.75" customHeight="1" x14ac:dyDescent="0.2">
      <c r="C62696"/>
      <c r="M62696"/>
    </row>
    <row r="62697" spans="3:13" ht="12.75" customHeight="1" x14ac:dyDescent="0.2">
      <c r="C62697"/>
      <c r="M62697"/>
    </row>
    <row r="62698" spans="3:13" ht="12.75" customHeight="1" x14ac:dyDescent="0.2">
      <c r="C62698"/>
      <c r="M62698"/>
    </row>
    <row r="62699" spans="3:13" ht="12.75" customHeight="1" x14ac:dyDescent="0.2">
      <c r="C62699"/>
      <c r="M62699"/>
    </row>
    <row r="62700" spans="3:13" ht="12.75" customHeight="1" x14ac:dyDescent="0.2">
      <c r="C62700"/>
      <c r="M62700"/>
    </row>
    <row r="62701" spans="3:13" ht="12.75" customHeight="1" x14ac:dyDescent="0.2">
      <c r="C62701"/>
      <c r="M62701"/>
    </row>
    <row r="62702" spans="3:13" ht="12.75" customHeight="1" x14ac:dyDescent="0.2">
      <c r="C62702"/>
      <c r="M62702"/>
    </row>
    <row r="62703" spans="3:13" ht="12.75" customHeight="1" x14ac:dyDescent="0.2">
      <c r="C62703"/>
      <c r="M62703"/>
    </row>
    <row r="62704" spans="3:13" ht="12.75" customHeight="1" x14ac:dyDescent="0.2">
      <c r="C62704"/>
      <c r="M62704"/>
    </row>
    <row r="62705" spans="3:13" ht="12.75" customHeight="1" x14ac:dyDescent="0.2">
      <c r="C62705"/>
      <c r="M62705"/>
    </row>
    <row r="62706" spans="3:13" ht="12.75" customHeight="1" x14ac:dyDescent="0.2">
      <c r="C62706"/>
      <c r="M62706"/>
    </row>
    <row r="62707" spans="3:13" ht="12.75" customHeight="1" x14ac:dyDescent="0.2">
      <c r="C62707"/>
      <c r="M62707"/>
    </row>
    <row r="62708" spans="3:13" ht="12.75" customHeight="1" x14ac:dyDescent="0.2">
      <c r="C62708"/>
      <c r="M62708"/>
    </row>
    <row r="62709" spans="3:13" ht="12.75" customHeight="1" x14ac:dyDescent="0.2">
      <c r="C62709"/>
      <c r="M62709"/>
    </row>
    <row r="62710" spans="3:13" ht="12.75" customHeight="1" x14ac:dyDescent="0.2">
      <c r="C62710"/>
      <c r="M62710"/>
    </row>
    <row r="62711" spans="3:13" ht="12.75" customHeight="1" x14ac:dyDescent="0.2">
      <c r="C62711"/>
      <c r="M62711"/>
    </row>
    <row r="62712" spans="3:13" ht="12.75" customHeight="1" x14ac:dyDescent="0.2">
      <c r="C62712"/>
      <c r="M62712"/>
    </row>
    <row r="62713" spans="3:13" ht="12.75" customHeight="1" x14ac:dyDescent="0.2">
      <c r="C62713"/>
      <c r="M62713"/>
    </row>
    <row r="62714" spans="3:13" ht="12.75" customHeight="1" x14ac:dyDescent="0.2">
      <c r="C62714"/>
      <c r="M62714"/>
    </row>
    <row r="62715" spans="3:13" ht="12.75" customHeight="1" x14ac:dyDescent="0.2">
      <c r="C62715"/>
      <c r="M62715"/>
    </row>
    <row r="62716" spans="3:13" ht="12.75" customHeight="1" x14ac:dyDescent="0.2">
      <c r="C62716"/>
      <c r="M62716"/>
    </row>
    <row r="62717" spans="3:13" ht="12.75" customHeight="1" x14ac:dyDescent="0.2">
      <c r="C62717"/>
      <c r="M62717"/>
    </row>
    <row r="62718" spans="3:13" ht="12.75" customHeight="1" x14ac:dyDescent="0.2">
      <c r="C62718"/>
      <c r="M62718"/>
    </row>
    <row r="62719" spans="3:13" ht="12.75" customHeight="1" x14ac:dyDescent="0.2">
      <c r="C62719"/>
      <c r="M62719"/>
    </row>
    <row r="62720" spans="3:13" ht="12.75" customHeight="1" x14ac:dyDescent="0.2">
      <c r="C62720"/>
      <c r="M62720"/>
    </row>
    <row r="62721" spans="3:13" ht="12.75" customHeight="1" x14ac:dyDescent="0.2">
      <c r="C62721"/>
      <c r="M62721"/>
    </row>
    <row r="62722" spans="3:13" ht="12.75" customHeight="1" x14ac:dyDescent="0.2">
      <c r="C62722"/>
      <c r="M62722"/>
    </row>
    <row r="62723" spans="3:13" ht="12.75" customHeight="1" x14ac:dyDescent="0.2">
      <c r="C62723"/>
      <c r="M62723"/>
    </row>
    <row r="62724" spans="3:13" ht="12.75" customHeight="1" x14ac:dyDescent="0.2">
      <c r="C62724"/>
      <c r="M62724"/>
    </row>
    <row r="62725" spans="3:13" ht="12.75" customHeight="1" x14ac:dyDescent="0.2">
      <c r="C62725"/>
      <c r="M62725"/>
    </row>
    <row r="62726" spans="3:13" ht="12.75" customHeight="1" x14ac:dyDescent="0.2">
      <c r="C62726"/>
      <c r="M62726"/>
    </row>
    <row r="62727" spans="3:13" ht="12.75" customHeight="1" x14ac:dyDescent="0.2">
      <c r="C62727"/>
      <c r="M62727"/>
    </row>
    <row r="62728" spans="3:13" ht="12.75" customHeight="1" x14ac:dyDescent="0.2">
      <c r="C62728"/>
      <c r="M62728"/>
    </row>
    <row r="62729" spans="3:13" ht="12.75" customHeight="1" x14ac:dyDescent="0.2">
      <c r="C62729"/>
      <c r="M62729"/>
    </row>
    <row r="62730" spans="3:13" ht="12.75" customHeight="1" x14ac:dyDescent="0.2">
      <c r="C62730"/>
      <c r="M62730"/>
    </row>
    <row r="62731" spans="3:13" ht="12.75" customHeight="1" x14ac:dyDescent="0.2">
      <c r="C62731"/>
      <c r="M62731"/>
    </row>
    <row r="62732" spans="3:13" ht="12.75" customHeight="1" x14ac:dyDescent="0.2">
      <c r="C62732"/>
      <c r="M62732"/>
    </row>
    <row r="62733" spans="3:13" ht="12.75" customHeight="1" x14ac:dyDescent="0.2">
      <c r="C62733"/>
      <c r="M62733"/>
    </row>
    <row r="62734" spans="3:13" ht="12.75" customHeight="1" x14ac:dyDescent="0.2">
      <c r="C62734"/>
      <c r="M62734"/>
    </row>
    <row r="62735" spans="3:13" ht="12.75" customHeight="1" x14ac:dyDescent="0.2">
      <c r="C62735"/>
      <c r="M62735"/>
    </row>
    <row r="62736" spans="3:13" ht="12.75" customHeight="1" x14ac:dyDescent="0.2">
      <c r="C62736"/>
      <c r="M62736"/>
    </row>
    <row r="62737" spans="3:13" ht="12.75" customHeight="1" x14ac:dyDescent="0.2">
      <c r="C62737"/>
      <c r="M62737"/>
    </row>
    <row r="62738" spans="3:13" ht="12.75" customHeight="1" x14ac:dyDescent="0.2">
      <c r="C62738"/>
      <c r="M62738"/>
    </row>
    <row r="62739" spans="3:13" ht="12.75" customHeight="1" x14ac:dyDescent="0.2">
      <c r="C62739"/>
      <c r="M62739"/>
    </row>
    <row r="62740" spans="3:13" ht="12.75" customHeight="1" x14ac:dyDescent="0.2">
      <c r="C62740"/>
      <c r="M62740"/>
    </row>
    <row r="62741" spans="3:13" ht="12.75" customHeight="1" x14ac:dyDescent="0.2">
      <c r="C62741"/>
      <c r="M62741"/>
    </row>
    <row r="62742" spans="3:13" ht="12.75" customHeight="1" x14ac:dyDescent="0.2">
      <c r="C62742"/>
      <c r="M62742"/>
    </row>
    <row r="62743" spans="3:13" ht="12.75" customHeight="1" x14ac:dyDescent="0.2">
      <c r="C62743"/>
      <c r="M62743"/>
    </row>
    <row r="62744" spans="3:13" ht="12.75" customHeight="1" x14ac:dyDescent="0.2">
      <c r="C62744"/>
      <c r="M62744"/>
    </row>
    <row r="62745" spans="3:13" ht="12.75" customHeight="1" x14ac:dyDescent="0.2">
      <c r="C62745"/>
      <c r="M62745"/>
    </row>
    <row r="62746" spans="3:13" ht="12.75" customHeight="1" x14ac:dyDescent="0.2">
      <c r="C62746"/>
      <c r="M62746"/>
    </row>
    <row r="62747" spans="3:13" ht="12.75" customHeight="1" x14ac:dyDescent="0.2">
      <c r="C62747"/>
      <c r="M62747"/>
    </row>
    <row r="62748" spans="3:13" ht="12.75" customHeight="1" x14ac:dyDescent="0.2">
      <c r="C62748"/>
      <c r="M62748"/>
    </row>
    <row r="62749" spans="3:13" ht="12.75" customHeight="1" x14ac:dyDescent="0.2">
      <c r="C62749"/>
      <c r="M62749"/>
    </row>
    <row r="62750" spans="3:13" ht="12.75" customHeight="1" x14ac:dyDescent="0.2">
      <c r="C62750"/>
      <c r="M62750"/>
    </row>
    <row r="62751" spans="3:13" ht="12.75" customHeight="1" x14ac:dyDescent="0.2">
      <c r="C62751"/>
      <c r="M62751"/>
    </row>
    <row r="62752" spans="3:13" ht="12.75" customHeight="1" x14ac:dyDescent="0.2">
      <c r="C62752"/>
      <c r="M62752"/>
    </row>
    <row r="62753" spans="3:13" ht="12.75" customHeight="1" x14ac:dyDescent="0.2">
      <c r="C62753"/>
      <c r="M62753"/>
    </row>
    <row r="62754" spans="3:13" ht="12.75" customHeight="1" x14ac:dyDescent="0.2">
      <c r="C62754"/>
      <c r="M62754"/>
    </row>
    <row r="62755" spans="3:13" ht="12.75" customHeight="1" x14ac:dyDescent="0.2">
      <c r="C62755"/>
      <c r="M62755"/>
    </row>
    <row r="62756" spans="3:13" ht="12.75" customHeight="1" x14ac:dyDescent="0.2">
      <c r="C62756"/>
      <c r="M62756"/>
    </row>
    <row r="62757" spans="3:13" ht="12.75" customHeight="1" x14ac:dyDescent="0.2">
      <c r="C62757"/>
      <c r="M62757"/>
    </row>
    <row r="62758" spans="3:13" ht="12.75" customHeight="1" x14ac:dyDescent="0.2">
      <c r="C62758"/>
      <c r="M62758"/>
    </row>
    <row r="62759" spans="3:13" ht="12.75" customHeight="1" x14ac:dyDescent="0.2">
      <c r="C62759"/>
      <c r="M62759"/>
    </row>
    <row r="62760" spans="3:13" ht="12.75" customHeight="1" x14ac:dyDescent="0.2">
      <c r="C62760"/>
      <c r="M62760"/>
    </row>
    <row r="62761" spans="3:13" ht="12.75" customHeight="1" x14ac:dyDescent="0.2">
      <c r="C62761"/>
      <c r="M62761"/>
    </row>
    <row r="62762" spans="3:13" ht="12.75" customHeight="1" x14ac:dyDescent="0.2">
      <c r="C62762"/>
      <c r="M62762"/>
    </row>
    <row r="62763" spans="3:13" ht="12.75" customHeight="1" x14ac:dyDescent="0.2">
      <c r="C62763"/>
      <c r="M62763"/>
    </row>
    <row r="62764" spans="3:13" ht="12.75" customHeight="1" x14ac:dyDescent="0.2">
      <c r="C62764"/>
      <c r="M62764"/>
    </row>
    <row r="62765" spans="3:13" ht="12.75" customHeight="1" x14ac:dyDescent="0.2">
      <c r="C62765"/>
      <c r="M62765"/>
    </row>
    <row r="62766" spans="3:13" ht="12.75" customHeight="1" x14ac:dyDescent="0.2">
      <c r="C62766"/>
      <c r="M62766"/>
    </row>
    <row r="62767" spans="3:13" ht="12.75" customHeight="1" x14ac:dyDescent="0.2">
      <c r="C62767"/>
      <c r="M62767"/>
    </row>
    <row r="62768" spans="3:13" ht="12.75" customHeight="1" x14ac:dyDescent="0.2">
      <c r="C62768"/>
      <c r="M62768"/>
    </row>
    <row r="62769" spans="3:13" ht="12.75" customHeight="1" x14ac:dyDescent="0.2">
      <c r="C62769"/>
      <c r="M62769"/>
    </row>
    <row r="62770" spans="3:13" ht="12.75" customHeight="1" x14ac:dyDescent="0.2">
      <c r="C62770"/>
      <c r="M62770"/>
    </row>
    <row r="62771" spans="3:13" ht="12.75" customHeight="1" x14ac:dyDescent="0.2">
      <c r="C62771"/>
      <c r="M62771"/>
    </row>
    <row r="62772" spans="3:13" ht="12.75" customHeight="1" x14ac:dyDescent="0.2">
      <c r="C62772"/>
      <c r="M62772"/>
    </row>
    <row r="62773" spans="3:13" ht="12.75" customHeight="1" x14ac:dyDescent="0.2">
      <c r="C62773"/>
      <c r="M62773"/>
    </row>
    <row r="62774" spans="3:13" ht="12.75" customHeight="1" x14ac:dyDescent="0.2">
      <c r="C62774"/>
      <c r="M62774"/>
    </row>
    <row r="62775" spans="3:13" ht="12.75" customHeight="1" x14ac:dyDescent="0.2">
      <c r="C62775"/>
      <c r="M62775"/>
    </row>
    <row r="62776" spans="3:13" ht="12.75" customHeight="1" x14ac:dyDescent="0.2">
      <c r="C62776"/>
      <c r="M62776"/>
    </row>
    <row r="62777" spans="3:13" ht="12.75" customHeight="1" x14ac:dyDescent="0.2">
      <c r="C62777"/>
      <c r="M62777"/>
    </row>
    <row r="62778" spans="3:13" ht="12.75" customHeight="1" x14ac:dyDescent="0.2">
      <c r="C62778"/>
      <c r="M62778"/>
    </row>
    <row r="62779" spans="3:13" ht="12.75" customHeight="1" x14ac:dyDescent="0.2">
      <c r="C62779"/>
      <c r="M62779"/>
    </row>
    <row r="62780" spans="3:13" ht="12.75" customHeight="1" x14ac:dyDescent="0.2">
      <c r="C62780"/>
      <c r="M62780"/>
    </row>
    <row r="62781" spans="3:13" ht="12.75" customHeight="1" x14ac:dyDescent="0.2">
      <c r="C62781"/>
      <c r="M62781"/>
    </row>
    <row r="62782" spans="3:13" ht="12.75" customHeight="1" x14ac:dyDescent="0.2">
      <c r="C62782"/>
      <c r="M62782"/>
    </row>
    <row r="62783" spans="3:13" ht="12.75" customHeight="1" x14ac:dyDescent="0.2">
      <c r="C62783"/>
      <c r="M62783"/>
    </row>
    <row r="62784" spans="3:13" ht="12.75" customHeight="1" x14ac:dyDescent="0.2">
      <c r="C62784"/>
      <c r="M62784"/>
    </row>
    <row r="62785" spans="3:13" ht="12.75" customHeight="1" x14ac:dyDescent="0.2">
      <c r="C62785"/>
      <c r="M62785"/>
    </row>
    <row r="62786" spans="3:13" ht="12.75" customHeight="1" x14ac:dyDescent="0.2">
      <c r="C62786"/>
      <c r="M62786"/>
    </row>
    <row r="62787" spans="3:13" ht="12.75" customHeight="1" x14ac:dyDescent="0.2">
      <c r="C62787"/>
      <c r="M62787"/>
    </row>
    <row r="62788" spans="3:13" ht="12.75" customHeight="1" x14ac:dyDescent="0.2">
      <c r="C62788"/>
      <c r="M62788"/>
    </row>
    <row r="62789" spans="3:13" ht="12.75" customHeight="1" x14ac:dyDescent="0.2">
      <c r="C62789"/>
      <c r="M62789"/>
    </row>
    <row r="62790" spans="3:13" ht="12.75" customHeight="1" x14ac:dyDescent="0.2">
      <c r="C62790"/>
      <c r="M62790"/>
    </row>
    <row r="62791" spans="3:13" ht="12.75" customHeight="1" x14ac:dyDescent="0.2">
      <c r="C62791"/>
      <c r="M62791"/>
    </row>
    <row r="62792" spans="3:13" ht="12.75" customHeight="1" x14ac:dyDescent="0.2">
      <c r="C62792"/>
      <c r="M62792"/>
    </row>
    <row r="62793" spans="3:13" ht="12.75" customHeight="1" x14ac:dyDescent="0.2">
      <c r="C62793"/>
      <c r="M62793"/>
    </row>
    <row r="62794" spans="3:13" ht="12.75" customHeight="1" x14ac:dyDescent="0.2">
      <c r="C62794"/>
      <c r="M62794"/>
    </row>
    <row r="62795" spans="3:13" ht="12.75" customHeight="1" x14ac:dyDescent="0.2">
      <c r="C62795"/>
      <c r="M62795"/>
    </row>
    <row r="62796" spans="3:13" ht="12.75" customHeight="1" x14ac:dyDescent="0.2">
      <c r="C62796"/>
      <c r="M62796"/>
    </row>
    <row r="62797" spans="3:13" ht="12.75" customHeight="1" x14ac:dyDescent="0.2">
      <c r="C62797"/>
      <c r="M62797"/>
    </row>
    <row r="62798" spans="3:13" ht="12.75" customHeight="1" x14ac:dyDescent="0.2">
      <c r="C62798"/>
      <c r="M62798"/>
    </row>
    <row r="62799" spans="3:13" ht="12.75" customHeight="1" x14ac:dyDescent="0.2">
      <c r="C62799"/>
      <c r="M62799"/>
    </row>
    <row r="62800" spans="3:13" ht="12.75" customHeight="1" x14ac:dyDescent="0.2">
      <c r="C62800"/>
      <c r="M62800"/>
    </row>
    <row r="62801" spans="3:13" ht="12.75" customHeight="1" x14ac:dyDescent="0.2">
      <c r="C62801"/>
      <c r="M62801"/>
    </row>
    <row r="62802" spans="3:13" ht="12.75" customHeight="1" x14ac:dyDescent="0.2">
      <c r="C62802"/>
      <c r="M62802"/>
    </row>
    <row r="62803" spans="3:13" ht="12.75" customHeight="1" x14ac:dyDescent="0.2">
      <c r="C62803"/>
      <c r="M62803"/>
    </row>
    <row r="62804" spans="3:13" ht="12.75" customHeight="1" x14ac:dyDescent="0.2">
      <c r="C62804"/>
      <c r="M62804"/>
    </row>
    <row r="62805" spans="3:13" ht="12.75" customHeight="1" x14ac:dyDescent="0.2">
      <c r="C62805"/>
      <c r="M62805"/>
    </row>
    <row r="62806" spans="3:13" ht="12.75" customHeight="1" x14ac:dyDescent="0.2">
      <c r="C62806"/>
      <c r="M62806"/>
    </row>
    <row r="62807" spans="3:13" ht="12.75" customHeight="1" x14ac:dyDescent="0.2">
      <c r="C62807"/>
      <c r="M62807"/>
    </row>
    <row r="62808" spans="3:13" ht="12.75" customHeight="1" x14ac:dyDescent="0.2">
      <c r="C62808"/>
      <c r="M62808"/>
    </row>
    <row r="62809" spans="3:13" ht="12.75" customHeight="1" x14ac:dyDescent="0.2">
      <c r="C62809"/>
      <c r="M62809"/>
    </row>
    <row r="62810" spans="3:13" ht="12.75" customHeight="1" x14ac:dyDescent="0.2">
      <c r="C62810"/>
      <c r="M62810"/>
    </row>
    <row r="62811" spans="3:13" ht="12.75" customHeight="1" x14ac:dyDescent="0.2">
      <c r="C62811"/>
      <c r="M62811"/>
    </row>
    <row r="62812" spans="3:13" ht="12.75" customHeight="1" x14ac:dyDescent="0.2">
      <c r="C62812"/>
      <c r="M62812"/>
    </row>
    <row r="62813" spans="3:13" ht="12.75" customHeight="1" x14ac:dyDescent="0.2">
      <c r="C62813"/>
      <c r="M62813"/>
    </row>
    <row r="62814" spans="3:13" ht="12.75" customHeight="1" x14ac:dyDescent="0.2">
      <c r="C62814"/>
      <c r="M62814"/>
    </row>
    <row r="62815" spans="3:13" ht="12.75" customHeight="1" x14ac:dyDescent="0.2">
      <c r="C62815"/>
      <c r="M62815"/>
    </row>
    <row r="62816" spans="3:13" ht="12.75" customHeight="1" x14ac:dyDescent="0.2">
      <c r="C62816"/>
      <c r="M62816"/>
    </row>
    <row r="62817" spans="3:13" ht="12.75" customHeight="1" x14ac:dyDescent="0.2">
      <c r="C62817"/>
      <c r="M62817"/>
    </row>
    <row r="62818" spans="3:13" ht="12.75" customHeight="1" x14ac:dyDescent="0.2">
      <c r="C62818"/>
      <c r="M62818"/>
    </row>
    <row r="62819" spans="3:13" ht="12.75" customHeight="1" x14ac:dyDescent="0.2">
      <c r="C62819"/>
      <c r="M62819"/>
    </row>
    <row r="62820" spans="3:13" ht="12.75" customHeight="1" x14ac:dyDescent="0.2">
      <c r="C62820"/>
      <c r="M62820"/>
    </row>
    <row r="62821" spans="3:13" ht="12.75" customHeight="1" x14ac:dyDescent="0.2">
      <c r="C62821"/>
      <c r="M62821"/>
    </row>
    <row r="62822" spans="3:13" ht="12.75" customHeight="1" x14ac:dyDescent="0.2">
      <c r="C62822"/>
      <c r="M62822"/>
    </row>
    <row r="62823" spans="3:13" ht="12.75" customHeight="1" x14ac:dyDescent="0.2">
      <c r="C62823"/>
      <c r="M62823"/>
    </row>
    <row r="62824" spans="3:13" ht="12.75" customHeight="1" x14ac:dyDescent="0.2">
      <c r="C62824"/>
      <c r="M62824"/>
    </row>
    <row r="62825" spans="3:13" ht="12.75" customHeight="1" x14ac:dyDescent="0.2">
      <c r="C62825"/>
      <c r="M62825"/>
    </row>
    <row r="62826" spans="3:13" ht="12.75" customHeight="1" x14ac:dyDescent="0.2">
      <c r="C62826"/>
      <c r="M62826"/>
    </row>
    <row r="62827" spans="3:13" ht="12.75" customHeight="1" x14ac:dyDescent="0.2">
      <c r="C62827"/>
      <c r="M62827"/>
    </row>
    <row r="62828" spans="3:13" ht="12.75" customHeight="1" x14ac:dyDescent="0.2">
      <c r="C62828"/>
      <c r="M62828"/>
    </row>
    <row r="62829" spans="3:13" ht="12.75" customHeight="1" x14ac:dyDescent="0.2">
      <c r="C62829"/>
      <c r="M62829"/>
    </row>
    <row r="62830" spans="3:13" ht="12.75" customHeight="1" x14ac:dyDescent="0.2">
      <c r="C62830"/>
      <c r="M62830"/>
    </row>
    <row r="62831" spans="3:13" ht="12.75" customHeight="1" x14ac:dyDescent="0.2">
      <c r="C62831"/>
      <c r="M62831"/>
    </row>
    <row r="62832" spans="3:13" ht="12.75" customHeight="1" x14ac:dyDescent="0.2">
      <c r="C62832"/>
      <c r="M62832"/>
    </row>
    <row r="62833" spans="3:13" ht="12.75" customHeight="1" x14ac:dyDescent="0.2">
      <c r="C62833"/>
      <c r="M62833"/>
    </row>
    <row r="62834" spans="3:13" ht="12.75" customHeight="1" x14ac:dyDescent="0.2">
      <c r="C62834"/>
      <c r="M62834"/>
    </row>
    <row r="62835" spans="3:13" ht="12.75" customHeight="1" x14ac:dyDescent="0.2">
      <c r="C62835"/>
      <c r="M62835"/>
    </row>
    <row r="62836" spans="3:13" ht="12.75" customHeight="1" x14ac:dyDescent="0.2">
      <c r="C62836"/>
      <c r="M62836"/>
    </row>
    <row r="62837" spans="3:13" ht="12.75" customHeight="1" x14ac:dyDescent="0.2">
      <c r="C62837"/>
      <c r="M62837"/>
    </row>
    <row r="62838" spans="3:13" ht="12.75" customHeight="1" x14ac:dyDescent="0.2">
      <c r="C62838"/>
      <c r="M62838"/>
    </row>
    <row r="62839" spans="3:13" ht="12.75" customHeight="1" x14ac:dyDescent="0.2">
      <c r="C62839"/>
      <c r="M62839"/>
    </row>
    <row r="62840" spans="3:13" ht="12.75" customHeight="1" x14ac:dyDescent="0.2">
      <c r="C62840"/>
      <c r="M62840"/>
    </row>
    <row r="62841" spans="3:13" ht="12.75" customHeight="1" x14ac:dyDescent="0.2">
      <c r="C62841"/>
      <c r="M62841"/>
    </row>
    <row r="62842" spans="3:13" ht="12.75" customHeight="1" x14ac:dyDescent="0.2">
      <c r="C62842"/>
      <c r="M62842"/>
    </row>
    <row r="62843" spans="3:13" ht="12.75" customHeight="1" x14ac:dyDescent="0.2">
      <c r="C62843"/>
      <c r="M62843"/>
    </row>
    <row r="62844" spans="3:13" ht="12.75" customHeight="1" x14ac:dyDescent="0.2">
      <c r="C62844"/>
      <c r="M62844"/>
    </row>
    <row r="62845" spans="3:13" ht="12.75" customHeight="1" x14ac:dyDescent="0.2">
      <c r="C62845"/>
      <c r="M62845"/>
    </row>
    <row r="62846" spans="3:13" ht="12.75" customHeight="1" x14ac:dyDescent="0.2">
      <c r="C62846"/>
      <c r="M62846"/>
    </row>
    <row r="62847" spans="3:13" ht="12.75" customHeight="1" x14ac:dyDescent="0.2">
      <c r="C62847"/>
      <c r="M62847"/>
    </row>
    <row r="62848" spans="3:13" ht="12.75" customHeight="1" x14ac:dyDescent="0.2">
      <c r="C62848"/>
      <c r="M62848"/>
    </row>
    <row r="62849" spans="3:13" ht="12.75" customHeight="1" x14ac:dyDescent="0.2">
      <c r="C62849"/>
      <c r="M62849"/>
    </row>
    <row r="62850" spans="3:13" ht="12.75" customHeight="1" x14ac:dyDescent="0.2">
      <c r="C62850"/>
      <c r="M62850"/>
    </row>
    <row r="62851" spans="3:13" ht="12.75" customHeight="1" x14ac:dyDescent="0.2">
      <c r="C62851"/>
      <c r="M62851"/>
    </row>
    <row r="62852" spans="3:13" ht="12.75" customHeight="1" x14ac:dyDescent="0.2">
      <c r="C62852"/>
      <c r="M62852"/>
    </row>
    <row r="62853" spans="3:13" ht="12.75" customHeight="1" x14ac:dyDescent="0.2">
      <c r="C62853"/>
      <c r="M62853"/>
    </row>
    <row r="62854" spans="3:13" ht="12.75" customHeight="1" x14ac:dyDescent="0.2">
      <c r="C62854"/>
      <c r="M62854"/>
    </row>
    <row r="62855" spans="3:13" ht="12.75" customHeight="1" x14ac:dyDescent="0.2">
      <c r="C62855"/>
      <c r="M62855"/>
    </row>
    <row r="62856" spans="3:13" ht="12.75" customHeight="1" x14ac:dyDescent="0.2">
      <c r="C62856"/>
      <c r="M62856"/>
    </row>
    <row r="62857" spans="3:13" ht="12.75" customHeight="1" x14ac:dyDescent="0.2">
      <c r="C62857"/>
      <c r="M62857"/>
    </row>
    <row r="62858" spans="3:13" ht="12.75" customHeight="1" x14ac:dyDescent="0.2">
      <c r="C62858"/>
      <c r="M62858"/>
    </row>
    <row r="62859" spans="3:13" ht="12.75" customHeight="1" x14ac:dyDescent="0.2">
      <c r="C62859"/>
      <c r="M62859"/>
    </row>
    <row r="62860" spans="3:13" ht="12.75" customHeight="1" x14ac:dyDescent="0.2">
      <c r="C62860"/>
      <c r="M62860"/>
    </row>
    <row r="62861" spans="3:13" ht="12.75" customHeight="1" x14ac:dyDescent="0.2">
      <c r="C62861"/>
      <c r="M62861"/>
    </row>
    <row r="62862" spans="3:13" ht="12.75" customHeight="1" x14ac:dyDescent="0.2">
      <c r="C62862"/>
      <c r="M62862"/>
    </row>
    <row r="62863" spans="3:13" ht="12.75" customHeight="1" x14ac:dyDescent="0.2">
      <c r="C62863"/>
      <c r="M62863"/>
    </row>
    <row r="62864" spans="3:13" ht="12.75" customHeight="1" x14ac:dyDescent="0.2">
      <c r="C62864"/>
      <c r="M62864"/>
    </row>
    <row r="62865" spans="3:13" ht="12.75" customHeight="1" x14ac:dyDescent="0.2">
      <c r="C62865"/>
      <c r="M62865"/>
    </row>
    <row r="62866" spans="3:13" ht="12.75" customHeight="1" x14ac:dyDescent="0.2">
      <c r="C62866"/>
      <c r="M62866"/>
    </row>
    <row r="62867" spans="3:13" ht="12.75" customHeight="1" x14ac:dyDescent="0.2">
      <c r="C62867"/>
      <c r="M62867"/>
    </row>
    <row r="62868" spans="3:13" ht="12.75" customHeight="1" x14ac:dyDescent="0.2">
      <c r="C62868"/>
      <c r="M62868"/>
    </row>
    <row r="62869" spans="3:13" ht="12.75" customHeight="1" x14ac:dyDescent="0.2">
      <c r="C62869"/>
      <c r="M62869"/>
    </row>
    <row r="62870" spans="3:13" ht="12.75" customHeight="1" x14ac:dyDescent="0.2">
      <c r="C62870"/>
      <c r="M62870"/>
    </row>
    <row r="62871" spans="3:13" ht="12.75" customHeight="1" x14ac:dyDescent="0.2">
      <c r="C62871"/>
      <c r="M62871"/>
    </row>
    <row r="62872" spans="3:13" ht="12.75" customHeight="1" x14ac:dyDescent="0.2">
      <c r="C62872"/>
      <c r="M62872"/>
    </row>
    <row r="62873" spans="3:13" ht="12.75" customHeight="1" x14ac:dyDescent="0.2">
      <c r="C62873"/>
      <c r="M62873"/>
    </row>
    <row r="62874" spans="3:13" ht="12.75" customHeight="1" x14ac:dyDescent="0.2">
      <c r="C62874"/>
      <c r="M62874"/>
    </row>
    <row r="62875" spans="3:13" ht="12.75" customHeight="1" x14ac:dyDescent="0.2">
      <c r="C62875"/>
      <c r="M62875"/>
    </row>
    <row r="62876" spans="3:13" ht="12.75" customHeight="1" x14ac:dyDescent="0.2">
      <c r="C62876"/>
      <c r="M62876"/>
    </row>
    <row r="62877" spans="3:13" ht="12.75" customHeight="1" x14ac:dyDescent="0.2">
      <c r="C62877"/>
      <c r="M62877"/>
    </row>
    <row r="62878" spans="3:13" ht="12.75" customHeight="1" x14ac:dyDescent="0.2">
      <c r="C62878"/>
      <c r="M62878"/>
    </row>
    <row r="62879" spans="3:13" ht="12.75" customHeight="1" x14ac:dyDescent="0.2">
      <c r="C62879"/>
      <c r="M62879"/>
    </row>
    <row r="62880" spans="3:13" ht="12.75" customHeight="1" x14ac:dyDescent="0.2">
      <c r="C62880"/>
      <c r="M62880"/>
    </row>
    <row r="62881" spans="3:13" ht="12.75" customHeight="1" x14ac:dyDescent="0.2">
      <c r="C62881"/>
      <c r="M62881"/>
    </row>
    <row r="62882" spans="3:13" ht="12.75" customHeight="1" x14ac:dyDescent="0.2">
      <c r="C62882"/>
      <c r="M62882"/>
    </row>
    <row r="62883" spans="3:13" ht="12.75" customHeight="1" x14ac:dyDescent="0.2">
      <c r="C62883"/>
      <c r="M62883"/>
    </row>
    <row r="62884" spans="3:13" ht="12.75" customHeight="1" x14ac:dyDescent="0.2">
      <c r="C62884"/>
      <c r="M62884"/>
    </row>
    <row r="62885" spans="3:13" ht="12.75" customHeight="1" x14ac:dyDescent="0.2">
      <c r="C62885"/>
      <c r="M62885"/>
    </row>
    <row r="62886" spans="3:13" ht="12.75" customHeight="1" x14ac:dyDescent="0.2">
      <c r="C62886"/>
      <c r="M62886"/>
    </row>
    <row r="62887" spans="3:13" ht="12.75" customHeight="1" x14ac:dyDescent="0.2">
      <c r="C62887"/>
      <c r="M62887"/>
    </row>
    <row r="62888" spans="3:13" ht="12.75" customHeight="1" x14ac:dyDescent="0.2">
      <c r="C62888"/>
      <c r="M62888"/>
    </row>
    <row r="62889" spans="3:13" ht="12.75" customHeight="1" x14ac:dyDescent="0.2">
      <c r="C62889"/>
      <c r="M62889"/>
    </row>
    <row r="62890" spans="3:13" ht="12.75" customHeight="1" x14ac:dyDescent="0.2">
      <c r="C62890"/>
      <c r="M62890"/>
    </row>
    <row r="62891" spans="3:13" ht="12.75" customHeight="1" x14ac:dyDescent="0.2">
      <c r="C62891"/>
      <c r="M62891"/>
    </row>
    <row r="62892" spans="3:13" ht="12.75" customHeight="1" x14ac:dyDescent="0.2">
      <c r="C62892"/>
      <c r="M62892"/>
    </row>
    <row r="62893" spans="3:13" ht="12.75" customHeight="1" x14ac:dyDescent="0.2">
      <c r="C62893"/>
      <c r="M62893"/>
    </row>
    <row r="62894" spans="3:13" ht="12.75" customHeight="1" x14ac:dyDescent="0.2">
      <c r="C62894"/>
      <c r="M62894"/>
    </row>
    <row r="62895" spans="3:13" ht="12.75" customHeight="1" x14ac:dyDescent="0.2">
      <c r="C62895"/>
      <c r="M62895"/>
    </row>
    <row r="62896" spans="3:13" ht="12.75" customHeight="1" x14ac:dyDescent="0.2">
      <c r="C62896"/>
      <c r="M62896"/>
    </row>
    <row r="62897" spans="3:13" ht="12.75" customHeight="1" x14ac:dyDescent="0.2">
      <c r="C62897"/>
      <c r="M62897"/>
    </row>
    <row r="62898" spans="3:13" ht="12.75" customHeight="1" x14ac:dyDescent="0.2">
      <c r="C62898"/>
      <c r="M62898"/>
    </row>
    <row r="62899" spans="3:13" ht="12.75" customHeight="1" x14ac:dyDescent="0.2">
      <c r="C62899"/>
      <c r="M62899"/>
    </row>
    <row r="62900" spans="3:13" ht="12.75" customHeight="1" x14ac:dyDescent="0.2">
      <c r="C62900"/>
      <c r="M62900"/>
    </row>
    <row r="62901" spans="3:13" ht="12.75" customHeight="1" x14ac:dyDescent="0.2">
      <c r="C62901"/>
      <c r="M62901"/>
    </row>
    <row r="62902" spans="3:13" ht="12.75" customHeight="1" x14ac:dyDescent="0.2">
      <c r="C62902"/>
      <c r="M62902"/>
    </row>
    <row r="62903" spans="3:13" ht="12.75" customHeight="1" x14ac:dyDescent="0.2">
      <c r="C62903"/>
      <c r="M62903"/>
    </row>
    <row r="62904" spans="3:13" ht="12.75" customHeight="1" x14ac:dyDescent="0.2">
      <c r="C62904"/>
      <c r="M62904"/>
    </row>
    <row r="62905" spans="3:13" ht="12.75" customHeight="1" x14ac:dyDescent="0.2">
      <c r="C62905"/>
      <c r="M62905"/>
    </row>
    <row r="62906" spans="3:13" ht="12.75" customHeight="1" x14ac:dyDescent="0.2">
      <c r="C62906"/>
      <c r="M62906"/>
    </row>
    <row r="62907" spans="3:13" ht="12.75" customHeight="1" x14ac:dyDescent="0.2">
      <c r="C62907"/>
      <c r="M62907"/>
    </row>
    <row r="62908" spans="3:13" ht="12.75" customHeight="1" x14ac:dyDescent="0.2">
      <c r="C62908"/>
      <c r="M62908"/>
    </row>
    <row r="62909" spans="3:13" ht="12.75" customHeight="1" x14ac:dyDescent="0.2">
      <c r="C62909"/>
      <c r="M62909"/>
    </row>
    <row r="62910" spans="3:13" ht="12.75" customHeight="1" x14ac:dyDescent="0.2">
      <c r="C62910"/>
      <c r="M62910"/>
    </row>
    <row r="62911" spans="3:13" ht="12.75" customHeight="1" x14ac:dyDescent="0.2">
      <c r="C62911"/>
      <c r="M62911"/>
    </row>
    <row r="62912" spans="3:13" ht="12.75" customHeight="1" x14ac:dyDescent="0.2">
      <c r="C62912"/>
      <c r="M62912"/>
    </row>
    <row r="62913" spans="3:13" ht="12.75" customHeight="1" x14ac:dyDescent="0.2">
      <c r="C62913"/>
      <c r="M62913"/>
    </row>
    <row r="62914" spans="3:13" ht="12.75" customHeight="1" x14ac:dyDescent="0.2">
      <c r="C62914"/>
      <c r="M62914"/>
    </row>
    <row r="62915" spans="3:13" ht="12.75" customHeight="1" x14ac:dyDescent="0.2">
      <c r="C62915"/>
      <c r="M62915"/>
    </row>
    <row r="62916" spans="3:13" ht="12.75" customHeight="1" x14ac:dyDescent="0.2">
      <c r="C62916"/>
      <c r="M62916"/>
    </row>
    <row r="62917" spans="3:13" ht="12.75" customHeight="1" x14ac:dyDescent="0.2">
      <c r="C62917"/>
      <c r="M62917"/>
    </row>
    <row r="62918" spans="3:13" ht="12.75" customHeight="1" x14ac:dyDescent="0.2">
      <c r="C62918"/>
      <c r="M62918"/>
    </row>
    <row r="62919" spans="3:13" ht="12.75" customHeight="1" x14ac:dyDescent="0.2">
      <c r="C62919"/>
      <c r="M62919"/>
    </row>
    <row r="62920" spans="3:13" ht="12.75" customHeight="1" x14ac:dyDescent="0.2">
      <c r="C62920"/>
      <c r="M62920"/>
    </row>
    <row r="62921" spans="3:13" ht="12.75" customHeight="1" x14ac:dyDescent="0.2">
      <c r="C62921"/>
      <c r="M62921"/>
    </row>
    <row r="62922" spans="3:13" ht="12.75" customHeight="1" x14ac:dyDescent="0.2">
      <c r="C62922"/>
      <c r="M62922"/>
    </row>
    <row r="62923" spans="3:13" ht="12.75" customHeight="1" x14ac:dyDescent="0.2">
      <c r="C62923"/>
      <c r="M62923"/>
    </row>
    <row r="62924" spans="3:13" ht="12.75" customHeight="1" x14ac:dyDescent="0.2">
      <c r="C62924"/>
      <c r="M62924"/>
    </row>
    <row r="62925" spans="3:13" ht="12.75" customHeight="1" x14ac:dyDescent="0.2">
      <c r="C62925"/>
      <c r="M62925"/>
    </row>
    <row r="62926" spans="3:13" ht="12.75" customHeight="1" x14ac:dyDescent="0.2">
      <c r="C62926"/>
      <c r="M62926"/>
    </row>
    <row r="62927" spans="3:13" ht="12.75" customHeight="1" x14ac:dyDescent="0.2">
      <c r="C62927"/>
      <c r="M62927"/>
    </row>
    <row r="62928" spans="3:13" ht="12.75" customHeight="1" x14ac:dyDescent="0.2">
      <c r="C62928"/>
      <c r="M62928"/>
    </row>
    <row r="62929" spans="3:13" ht="12.75" customHeight="1" x14ac:dyDescent="0.2">
      <c r="C62929"/>
      <c r="M62929"/>
    </row>
    <row r="62930" spans="3:13" ht="12.75" customHeight="1" x14ac:dyDescent="0.2">
      <c r="C62930"/>
      <c r="M62930"/>
    </row>
    <row r="62931" spans="3:13" ht="12.75" customHeight="1" x14ac:dyDescent="0.2">
      <c r="C62931"/>
      <c r="M62931"/>
    </row>
    <row r="62932" spans="3:13" ht="12.75" customHeight="1" x14ac:dyDescent="0.2">
      <c r="C62932"/>
      <c r="M62932"/>
    </row>
    <row r="62933" spans="3:13" ht="12.75" customHeight="1" x14ac:dyDescent="0.2">
      <c r="C62933"/>
      <c r="M62933"/>
    </row>
    <row r="62934" spans="3:13" ht="12.75" customHeight="1" x14ac:dyDescent="0.2">
      <c r="C62934"/>
      <c r="M62934"/>
    </row>
    <row r="62935" spans="3:13" ht="12.75" customHeight="1" x14ac:dyDescent="0.2">
      <c r="C62935"/>
      <c r="M62935"/>
    </row>
    <row r="62936" spans="3:13" ht="12.75" customHeight="1" x14ac:dyDescent="0.2">
      <c r="C62936"/>
      <c r="M62936"/>
    </row>
    <row r="62937" spans="3:13" ht="12.75" customHeight="1" x14ac:dyDescent="0.2">
      <c r="C62937"/>
      <c r="M62937"/>
    </row>
    <row r="62938" spans="3:13" ht="12.75" customHeight="1" x14ac:dyDescent="0.2">
      <c r="C62938"/>
      <c r="M62938"/>
    </row>
    <row r="62939" spans="3:13" ht="12.75" customHeight="1" x14ac:dyDescent="0.2">
      <c r="C62939"/>
      <c r="M62939"/>
    </row>
    <row r="62940" spans="3:13" ht="12.75" customHeight="1" x14ac:dyDescent="0.2">
      <c r="C62940"/>
      <c r="M62940"/>
    </row>
    <row r="62941" spans="3:13" ht="12.75" customHeight="1" x14ac:dyDescent="0.2">
      <c r="C62941"/>
      <c r="M62941"/>
    </row>
    <row r="62942" spans="3:13" ht="12.75" customHeight="1" x14ac:dyDescent="0.2">
      <c r="C62942"/>
      <c r="M62942"/>
    </row>
    <row r="62943" spans="3:13" ht="12.75" customHeight="1" x14ac:dyDescent="0.2">
      <c r="C62943"/>
      <c r="M62943"/>
    </row>
    <row r="62944" spans="3:13" ht="12.75" customHeight="1" x14ac:dyDescent="0.2">
      <c r="C62944"/>
      <c r="M62944"/>
    </row>
    <row r="62945" spans="3:13" ht="12.75" customHeight="1" x14ac:dyDescent="0.2">
      <c r="C62945"/>
      <c r="M62945"/>
    </row>
    <row r="62946" spans="3:13" ht="12.75" customHeight="1" x14ac:dyDescent="0.2">
      <c r="C62946"/>
      <c r="M62946"/>
    </row>
    <row r="62947" spans="3:13" ht="12.75" customHeight="1" x14ac:dyDescent="0.2">
      <c r="C62947"/>
      <c r="M62947"/>
    </row>
    <row r="62948" spans="3:13" ht="12.75" customHeight="1" x14ac:dyDescent="0.2">
      <c r="C62948"/>
      <c r="M62948"/>
    </row>
    <row r="62949" spans="3:13" ht="12.75" customHeight="1" x14ac:dyDescent="0.2">
      <c r="C62949"/>
      <c r="M62949"/>
    </row>
    <row r="62950" spans="3:13" ht="12.75" customHeight="1" x14ac:dyDescent="0.2">
      <c r="C62950"/>
      <c r="M62950"/>
    </row>
    <row r="62951" spans="3:13" ht="12.75" customHeight="1" x14ac:dyDescent="0.2">
      <c r="C62951"/>
      <c r="M62951"/>
    </row>
    <row r="62952" spans="3:13" ht="12.75" customHeight="1" x14ac:dyDescent="0.2">
      <c r="C62952"/>
      <c r="M62952"/>
    </row>
    <row r="62953" spans="3:13" ht="12.75" customHeight="1" x14ac:dyDescent="0.2">
      <c r="C62953"/>
      <c r="M62953"/>
    </row>
    <row r="62954" spans="3:13" ht="12.75" customHeight="1" x14ac:dyDescent="0.2">
      <c r="C62954"/>
      <c r="M62954"/>
    </row>
    <row r="62955" spans="3:13" ht="12.75" customHeight="1" x14ac:dyDescent="0.2">
      <c r="C62955"/>
      <c r="M62955"/>
    </row>
    <row r="62956" spans="3:13" ht="12.75" customHeight="1" x14ac:dyDescent="0.2">
      <c r="C62956"/>
      <c r="M62956"/>
    </row>
    <row r="62957" spans="3:13" ht="12.75" customHeight="1" x14ac:dyDescent="0.2">
      <c r="C62957"/>
      <c r="M62957"/>
    </row>
    <row r="62958" spans="3:13" ht="12.75" customHeight="1" x14ac:dyDescent="0.2">
      <c r="C62958"/>
      <c r="M62958"/>
    </row>
    <row r="62959" spans="3:13" ht="12.75" customHeight="1" x14ac:dyDescent="0.2">
      <c r="C62959"/>
      <c r="M62959"/>
    </row>
    <row r="62960" spans="3:13" ht="12.75" customHeight="1" x14ac:dyDescent="0.2">
      <c r="C62960"/>
      <c r="M62960"/>
    </row>
    <row r="62961" spans="3:13" ht="12.75" customHeight="1" x14ac:dyDescent="0.2">
      <c r="C62961"/>
      <c r="M62961"/>
    </row>
    <row r="62962" spans="3:13" ht="12.75" customHeight="1" x14ac:dyDescent="0.2">
      <c r="C62962"/>
      <c r="M62962"/>
    </row>
    <row r="62963" spans="3:13" ht="12.75" customHeight="1" x14ac:dyDescent="0.2">
      <c r="C62963"/>
      <c r="M62963"/>
    </row>
    <row r="62964" spans="3:13" ht="12.75" customHeight="1" x14ac:dyDescent="0.2">
      <c r="C62964"/>
      <c r="M62964"/>
    </row>
    <row r="62965" spans="3:13" ht="12.75" customHeight="1" x14ac:dyDescent="0.2">
      <c r="C62965"/>
      <c r="M62965"/>
    </row>
    <row r="62966" spans="3:13" ht="12.75" customHeight="1" x14ac:dyDescent="0.2">
      <c r="C62966"/>
      <c r="M62966"/>
    </row>
    <row r="62967" spans="3:13" ht="12.75" customHeight="1" x14ac:dyDescent="0.2">
      <c r="C62967"/>
      <c r="M62967"/>
    </row>
    <row r="62968" spans="3:13" ht="12.75" customHeight="1" x14ac:dyDescent="0.2">
      <c r="C62968"/>
      <c r="M62968"/>
    </row>
    <row r="62969" spans="3:13" ht="12.75" customHeight="1" x14ac:dyDescent="0.2">
      <c r="C62969"/>
      <c r="M62969"/>
    </row>
    <row r="62970" spans="3:13" ht="12.75" customHeight="1" x14ac:dyDescent="0.2">
      <c r="C62970"/>
      <c r="M62970"/>
    </row>
    <row r="62971" spans="3:13" ht="12.75" customHeight="1" x14ac:dyDescent="0.2">
      <c r="C62971"/>
      <c r="M62971"/>
    </row>
    <row r="62972" spans="3:13" ht="12.75" customHeight="1" x14ac:dyDescent="0.2">
      <c r="C62972"/>
      <c r="M62972"/>
    </row>
    <row r="62973" spans="3:13" ht="12.75" customHeight="1" x14ac:dyDescent="0.2">
      <c r="C62973"/>
      <c r="M62973"/>
    </row>
    <row r="62974" spans="3:13" ht="12.75" customHeight="1" x14ac:dyDescent="0.2">
      <c r="C62974"/>
      <c r="M62974"/>
    </row>
    <row r="62975" spans="3:13" ht="12.75" customHeight="1" x14ac:dyDescent="0.2">
      <c r="C62975"/>
      <c r="M62975"/>
    </row>
    <row r="62976" spans="3:13" ht="12.75" customHeight="1" x14ac:dyDescent="0.2">
      <c r="C62976"/>
      <c r="M62976"/>
    </row>
    <row r="62977" spans="3:13" ht="12.75" customHeight="1" x14ac:dyDescent="0.2">
      <c r="C62977"/>
      <c r="M62977"/>
    </row>
    <row r="62978" spans="3:13" ht="12.75" customHeight="1" x14ac:dyDescent="0.2">
      <c r="C62978"/>
      <c r="M62978"/>
    </row>
    <row r="62979" spans="3:13" ht="12.75" customHeight="1" x14ac:dyDescent="0.2">
      <c r="C62979"/>
      <c r="M62979"/>
    </row>
    <row r="62980" spans="3:13" ht="12.75" customHeight="1" x14ac:dyDescent="0.2">
      <c r="C62980"/>
      <c r="M62980"/>
    </row>
    <row r="62981" spans="3:13" ht="12.75" customHeight="1" x14ac:dyDescent="0.2">
      <c r="C62981"/>
      <c r="M62981"/>
    </row>
    <row r="62982" spans="3:13" ht="12.75" customHeight="1" x14ac:dyDescent="0.2">
      <c r="C62982"/>
      <c r="M62982"/>
    </row>
    <row r="62983" spans="3:13" ht="12.75" customHeight="1" x14ac:dyDescent="0.2">
      <c r="C62983"/>
      <c r="M62983"/>
    </row>
    <row r="62984" spans="3:13" ht="12.75" customHeight="1" x14ac:dyDescent="0.2">
      <c r="C62984"/>
      <c r="M62984"/>
    </row>
    <row r="62985" spans="3:13" ht="12.75" customHeight="1" x14ac:dyDescent="0.2">
      <c r="C62985"/>
      <c r="M62985"/>
    </row>
    <row r="62986" spans="3:13" ht="12.75" customHeight="1" x14ac:dyDescent="0.2">
      <c r="C62986"/>
      <c r="M62986"/>
    </row>
    <row r="62987" spans="3:13" ht="12.75" customHeight="1" x14ac:dyDescent="0.2">
      <c r="C62987"/>
      <c r="M62987"/>
    </row>
    <row r="62988" spans="3:13" ht="12.75" customHeight="1" x14ac:dyDescent="0.2">
      <c r="C62988"/>
      <c r="M62988"/>
    </row>
    <row r="62989" spans="3:13" ht="12.75" customHeight="1" x14ac:dyDescent="0.2">
      <c r="C62989"/>
      <c r="M62989"/>
    </row>
    <row r="62990" spans="3:13" ht="12.75" customHeight="1" x14ac:dyDescent="0.2">
      <c r="C62990"/>
      <c r="M62990"/>
    </row>
    <row r="62991" spans="3:13" ht="12.75" customHeight="1" x14ac:dyDescent="0.2">
      <c r="C62991"/>
      <c r="M62991"/>
    </row>
    <row r="62992" spans="3:13" ht="12.75" customHeight="1" x14ac:dyDescent="0.2">
      <c r="C62992"/>
      <c r="M62992"/>
    </row>
    <row r="62993" spans="3:13" ht="12.75" customHeight="1" x14ac:dyDescent="0.2">
      <c r="C62993"/>
      <c r="M62993"/>
    </row>
    <row r="62994" spans="3:13" ht="12.75" customHeight="1" x14ac:dyDescent="0.2">
      <c r="C62994"/>
      <c r="M62994"/>
    </row>
    <row r="62995" spans="3:13" ht="12.75" customHeight="1" x14ac:dyDescent="0.2">
      <c r="C62995"/>
      <c r="M62995"/>
    </row>
    <row r="62996" spans="3:13" ht="12.75" customHeight="1" x14ac:dyDescent="0.2">
      <c r="C62996"/>
      <c r="M62996"/>
    </row>
    <row r="62997" spans="3:13" ht="12.75" customHeight="1" x14ac:dyDescent="0.2">
      <c r="C62997"/>
      <c r="M62997"/>
    </row>
    <row r="62998" spans="3:13" ht="12.75" customHeight="1" x14ac:dyDescent="0.2">
      <c r="C62998"/>
      <c r="M62998"/>
    </row>
    <row r="62999" spans="3:13" ht="12.75" customHeight="1" x14ac:dyDescent="0.2">
      <c r="C62999"/>
      <c r="M62999"/>
    </row>
    <row r="63000" spans="3:13" ht="12.75" customHeight="1" x14ac:dyDescent="0.2">
      <c r="C63000"/>
      <c r="M63000"/>
    </row>
    <row r="63001" spans="3:13" ht="12.75" customHeight="1" x14ac:dyDescent="0.2">
      <c r="C63001"/>
      <c r="M63001"/>
    </row>
    <row r="63002" spans="3:13" ht="12.75" customHeight="1" x14ac:dyDescent="0.2">
      <c r="C63002"/>
      <c r="M63002"/>
    </row>
    <row r="63003" spans="3:13" ht="12.75" customHeight="1" x14ac:dyDescent="0.2">
      <c r="C63003"/>
      <c r="M63003"/>
    </row>
    <row r="63004" spans="3:13" ht="12.75" customHeight="1" x14ac:dyDescent="0.2">
      <c r="C63004"/>
      <c r="M63004"/>
    </row>
    <row r="63005" spans="3:13" ht="12.75" customHeight="1" x14ac:dyDescent="0.2">
      <c r="C63005"/>
      <c r="M63005"/>
    </row>
    <row r="63006" spans="3:13" ht="12.75" customHeight="1" x14ac:dyDescent="0.2">
      <c r="C63006"/>
      <c r="M63006"/>
    </row>
    <row r="63007" spans="3:13" ht="12.75" customHeight="1" x14ac:dyDescent="0.2">
      <c r="C63007"/>
      <c r="M63007"/>
    </row>
    <row r="63008" spans="3:13" ht="12.75" customHeight="1" x14ac:dyDescent="0.2">
      <c r="C63008"/>
      <c r="M63008"/>
    </row>
    <row r="63009" spans="3:13" ht="12.75" customHeight="1" x14ac:dyDescent="0.2">
      <c r="C63009"/>
      <c r="M63009"/>
    </row>
    <row r="63010" spans="3:13" ht="12.75" customHeight="1" x14ac:dyDescent="0.2">
      <c r="C63010"/>
      <c r="M63010"/>
    </row>
    <row r="63011" spans="3:13" ht="12.75" customHeight="1" x14ac:dyDescent="0.2">
      <c r="C63011"/>
      <c r="M63011"/>
    </row>
    <row r="63012" spans="3:13" ht="12.75" customHeight="1" x14ac:dyDescent="0.2">
      <c r="C63012"/>
      <c r="M63012"/>
    </row>
    <row r="63013" spans="3:13" ht="12.75" customHeight="1" x14ac:dyDescent="0.2">
      <c r="C63013"/>
      <c r="M63013"/>
    </row>
    <row r="63014" spans="3:13" ht="12.75" customHeight="1" x14ac:dyDescent="0.2">
      <c r="C63014"/>
      <c r="M63014"/>
    </row>
    <row r="63015" spans="3:13" ht="12.75" customHeight="1" x14ac:dyDescent="0.2">
      <c r="C63015"/>
      <c r="M63015"/>
    </row>
    <row r="63016" spans="3:13" ht="12.75" customHeight="1" x14ac:dyDescent="0.2">
      <c r="C63016"/>
      <c r="M63016"/>
    </row>
    <row r="63017" spans="3:13" ht="12.75" customHeight="1" x14ac:dyDescent="0.2">
      <c r="C63017"/>
      <c r="M63017"/>
    </row>
    <row r="63018" spans="3:13" ht="12.75" customHeight="1" x14ac:dyDescent="0.2">
      <c r="C63018"/>
      <c r="M63018"/>
    </row>
    <row r="63019" spans="3:13" ht="12.75" customHeight="1" x14ac:dyDescent="0.2">
      <c r="C63019"/>
      <c r="M63019"/>
    </row>
    <row r="63020" spans="3:13" ht="12.75" customHeight="1" x14ac:dyDescent="0.2">
      <c r="C63020"/>
      <c r="M63020"/>
    </row>
    <row r="63021" spans="3:13" ht="12.75" customHeight="1" x14ac:dyDescent="0.2">
      <c r="C63021"/>
      <c r="M63021"/>
    </row>
    <row r="63022" spans="3:13" ht="12.75" customHeight="1" x14ac:dyDescent="0.2">
      <c r="C63022"/>
      <c r="M63022"/>
    </row>
    <row r="63023" spans="3:13" ht="12.75" customHeight="1" x14ac:dyDescent="0.2">
      <c r="C63023"/>
      <c r="M63023"/>
    </row>
    <row r="63024" spans="3:13" ht="12.75" customHeight="1" x14ac:dyDescent="0.2">
      <c r="C63024"/>
      <c r="M63024"/>
    </row>
    <row r="63025" spans="3:13" ht="12.75" customHeight="1" x14ac:dyDescent="0.2">
      <c r="C63025"/>
      <c r="M63025"/>
    </row>
    <row r="63026" spans="3:13" ht="12.75" customHeight="1" x14ac:dyDescent="0.2">
      <c r="C63026"/>
      <c r="M63026"/>
    </row>
    <row r="63027" spans="3:13" ht="12.75" customHeight="1" x14ac:dyDescent="0.2">
      <c r="C63027"/>
      <c r="M63027"/>
    </row>
    <row r="63028" spans="3:13" ht="12.75" customHeight="1" x14ac:dyDescent="0.2">
      <c r="C63028"/>
      <c r="M63028"/>
    </row>
    <row r="63029" spans="3:13" ht="12.75" customHeight="1" x14ac:dyDescent="0.2">
      <c r="C63029"/>
      <c r="M63029"/>
    </row>
    <row r="63030" spans="3:13" ht="12.75" customHeight="1" x14ac:dyDescent="0.2">
      <c r="C63030"/>
      <c r="M63030"/>
    </row>
    <row r="63031" spans="3:13" ht="12.75" customHeight="1" x14ac:dyDescent="0.2">
      <c r="C63031"/>
      <c r="M63031"/>
    </row>
    <row r="63032" spans="3:13" ht="12.75" customHeight="1" x14ac:dyDescent="0.2">
      <c r="C63032"/>
      <c r="M63032"/>
    </row>
    <row r="63033" spans="3:13" ht="12.75" customHeight="1" x14ac:dyDescent="0.2">
      <c r="C63033"/>
      <c r="M63033"/>
    </row>
    <row r="63034" spans="3:13" ht="12.75" customHeight="1" x14ac:dyDescent="0.2">
      <c r="C63034"/>
      <c r="M63034"/>
    </row>
    <row r="63035" spans="3:13" ht="12.75" customHeight="1" x14ac:dyDescent="0.2">
      <c r="C63035"/>
      <c r="M63035"/>
    </row>
    <row r="63036" spans="3:13" ht="12.75" customHeight="1" x14ac:dyDescent="0.2">
      <c r="C63036"/>
      <c r="M63036"/>
    </row>
    <row r="63037" spans="3:13" ht="12.75" customHeight="1" x14ac:dyDescent="0.2">
      <c r="C63037"/>
      <c r="M63037"/>
    </row>
    <row r="63038" spans="3:13" ht="12.75" customHeight="1" x14ac:dyDescent="0.2">
      <c r="C63038"/>
      <c r="M63038"/>
    </row>
    <row r="63039" spans="3:13" ht="12.75" customHeight="1" x14ac:dyDescent="0.2">
      <c r="C63039"/>
      <c r="M63039"/>
    </row>
    <row r="63040" spans="3:13" ht="12.75" customHeight="1" x14ac:dyDescent="0.2">
      <c r="C63040"/>
      <c r="M63040"/>
    </row>
    <row r="63041" spans="3:13" ht="12.75" customHeight="1" x14ac:dyDescent="0.2">
      <c r="C63041"/>
      <c r="M63041"/>
    </row>
    <row r="63042" spans="3:13" ht="12.75" customHeight="1" x14ac:dyDescent="0.2">
      <c r="C63042"/>
      <c r="M63042"/>
    </row>
    <row r="63043" spans="3:13" ht="12.75" customHeight="1" x14ac:dyDescent="0.2">
      <c r="C63043"/>
      <c r="M63043"/>
    </row>
    <row r="63044" spans="3:13" ht="12.75" customHeight="1" x14ac:dyDescent="0.2">
      <c r="C63044"/>
      <c r="M63044"/>
    </row>
    <row r="63045" spans="3:13" ht="12.75" customHeight="1" x14ac:dyDescent="0.2">
      <c r="C63045"/>
      <c r="M63045"/>
    </row>
    <row r="63046" spans="3:13" ht="12.75" customHeight="1" x14ac:dyDescent="0.2">
      <c r="C63046"/>
      <c r="M63046"/>
    </row>
    <row r="63047" spans="3:13" ht="12.75" customHeight="1" x14ac:dyDescent="0.2">
      <c r="C63047"/>
      <c r="M63047"/>
    </row>
    <row r="63048" spans="3:13" ht="12.75" customHeight="1" x14ac:dyDescent="0.2">
      <c r="C63048"/>
      <c r="M63048"/>
    </row>
    <row r="63049" spans="3:13" ht="12.75" customHeight="1" x14ac:dyDescent="0.2">
      <c r="C63049"/>
      <c r="M63049"/>
    </row>
    <row r="63050" spans="3:13" ht="12.75" customHeight="1" x14ac:dyDescent="0.2">
      <c r="C63050"/>
      <c r="M63050"/>
    </row>
    <row r="63051" spans="3:13" ht="12.75" customHeight="1" x14ac:dyDescent="0.2">
      <c r="C63051"/>
      <c r="M63051"/>
    </row>
    <row r="63052" spans="3:13" ht="12.75" customHeight="1" x14ac:dyDescent="0.2">
      <c r="C63052"/>
      <c r="M63052"/>
    </row>
    <row r="63053" spans="3:13" ht="12.75" customHeight="1" x14ac:dyDescent="0.2">
      <c r="C63053"/>
      <c r="M63053"/>
    </row>
    <row r="63054" spans="3:13" ht="12.75" customHeight="1" x14ac:dyDescent="0.2">
      <c r="C63054"/>
      <c r="M63054"/>
    </row>
    <row r="63055" spans="3:13" ht="12.75" customHeight="1" x14ac:dyDescent="0.2">
      <c r="C63055"/>
      <c r="M63055"/>
    </row>
    <row r="63056" spans="3:13" ht="12.75" customHeight="1" x14ac:dyDescent="0.2">
      <c r="C63056"/>
      <c r="M63056"/>
    </row>
    <row r="63057" spans="3:13" ht="12.75" customHeight="1" x14ac:dyDescent="0.2">
      <c r="C63057"/>
      <c r="M63057"/>
    </row>
    <row r="63058" spans="3:13" ht="12.75" customHeight="1" x14ac:dyDescent="0.2">
      <c r="C63058"/>
      <c r="M63058"/>
    </row>
    <row r="63059" spans="3:13" ht="12.75" customHeight="1" x14ac:dyDescent="0.2">
      <c r="C63059"/>
      <c r="M63059"/>
    </row>
    <row r="63060" spans="3:13" ht="12.75" customHeight="1" x14ac:dyDescent="0.2">
      <c r="C63060"/>
      <c r="M63060"/>
    </row>
    <row r="63061" spans="3:13" ht="12.75" customHeight="1" x14ac:dyDescent="0.2">
      <c r="C63061"/>
      <c r="M63061"/>
    </row>
    <row r="63062" spans="3:13" ht="12.75" customHeight="1" x14ac:dyDescent="0.2">
      <c r="C63062"/>
      <c r="M63062"/>
    </row>
    <row r="63063" spans="3:13" ht="12.75" customHeight="1" x14ac:dyDescent="0.2">
      <c r="C63063"/>
      <c r="M63063"/>
    </row>
    <row r="63064" spans="3:13" ht="12.75" customHeight="1" x14ac:dyDescent="0.2">
      <c r="C63064"/>
      <c r="M63064"/>
    </row>
    <row r="63065" spans="3:13" ht="12.75" customHeight="1" x14ac:dyDescent="0.2">
      <c r="C63065"/>
      <c r="M63065"/>
    </row>
    <row r="63066" spans="3:13" ht="12.75" customHeight="1" x14ac:dyDescent="0.2">
      <c r="C63066"/>
      <c r="M63066"/>
    </row>
    <row r="63067" spans="3:13" ht="12.75" customHeight="1" x14ac:dyDescent="0.2">
      <c r="C63067"/>
      <c r="M63067"/>
    </row>
    <row r="63068" spans="3:13" ht="12.75" customHeight="1" x14ac:dyDescent="0.2">
      <c r="C63068"/>
      <c r="M63068"/>
    </row>
    <row r="63069" spans="3:13" ht="12.75" customHeight="1" x14ac:dyDescent="0.2">
      <c r="C63069"/>
      <c r="M63069"/>
    </row>
    <row r="63070" spans="3:13" ht="12.75" customHeight="1" x14ac:dyDescent="0.2">
      <c r="C63070"/>
      <c r="M63070"/>
    </row>
    <row r="63071" spans="3:13" ht="12.75" customHeight="1" x14ac:dyDescent="0.2">
      <c r="C63071"/>
      <c r="M63071"/>
    </row>
    <row r="63072" spans="3:13" ht="12.75" customHeight="1" x14ac:dyDescent="0.2">
      <c r="C63072"/>
      <c r="M63072"/>
    </row>
    <row r="63073" spans="3:13" ht="12.75" customHeight="1" x14ac:dyDescent="0.2">
      <c r="C63073"/>
      <c r="M63073"/>
    </row>
    <row r="63074" spans="3:13" ht="12.75" customHeight="1" x14ac:dyDescent="0.2">
      <c r="C63074"/>
      <c r="M63074"/>
    </row>
    <row r="63075" spans="3:13" ht="12.75" customHeight="1" x14ac:dyDescent="0.2">
      <c r="C63075"/>
      <c r="M63075"/>
    </row>
    <row r="63076" spans="3:13" ht="12.75" customHeight="1" x14ac:dyDescent="0.2">
      <c r="C63076"/>
      <c r="M63076"/>
    </row>
    <row r="63077" spans="3:13" ht="12.75" customHeight="1" x14ac:dyDescent="0.2">
      <c r="C63077"/>
      <c r="M63077"/>
    </row>
    <row r="63078" spans="3:13" ht="12.75" customHeight="1" x14ac:dyDescent="0.2">
      <c r="C63078"/>
      <c r="M63078"/>
    </row>
    <row r="63079" spans="3:13" ht="12.75" customHeight="1" x14ac:dyDescent="0.2">
      <c r="C63079"/>
      <c r="M63079"/>
    </row>
    <row r="63080" spans="3:13" ht="12.75" customHeight="1" x14ac:dyDescent="0.2">
      <c r="C63080"/>
      <c r="M63080"/>
    </row>
    <row r="63081" spans="3:13" ht="12.75" customHeight="1" x14ac:dyDescent="0.2">
      <c r="C63081"/>
      <c r="M63081"/>
    </row>
    <row r="63082" spans="3:13" ht="12.75" customHeight="1" x14ac:dyDescent="0.2">
      <c r="C63082"/>
      <c r="M63082"/>
    </row>
    <row r="63083" spans="3:13" ht="12.75" customHeight="1" x14ac:dyDescent="0.2">
      <c r="C63083"/>
      <c r="M63083"/>
    </row>
    <row r="63084" spans="3:13" ht="12.75" customHeight="1" x14ac:dyDescent="0.2">
      <c r="C63084"/>
      <c r="M63084"/>
    </row>
    <row r="63085" spans="3:13" ht="12.75" customHeight="1" x14ac:dyDescent="0.2">
      <c r="C63085"/>
      <c r="M63085"/>
    </row>
    <row r="63086" spans="3:13" ht="12.75" customHeight="1" x14ac:dyDescent="0.2">
      <c r="C63086"/>
      <c r="M63086"/>
    </row>
    <row r="63087" spans="3:13" ht="12.75" customHeight="1" x14ac:dyDescent="0.2">
      <c r="C63087"/>
      <c r="M63087"/>
    </row>
    <row r="63088" spans="3:13" ht="12.75" customHeight="1" x14ac:dyDescent="0.2">
      <c r="C63088"/>
      <c r="M63088"/>
    </row>
    <row r="63089" spans="3:13" ht="12.75" customHeight="1" x14ac:dyDescent="0.2">
      <c r="C63089"/>
      <c r="M63089"/>
    </row>
    <row r="63090" spans="3:13" ht="12.75" customHeight="1" x14ac:dyDescent="0.2">
      <c r="C63090"/>
      <c r="M63090"/>
    </row>
    <row r="63091" spans="3:13" ht="12.75" customHeight="1" x14ac:dyDescent="0.2">
      <c r="C63091"/>
      <c r="M63091"/>
    </row>
    <row r="63092" spans="3:13" ht="12.75" customHeight="1" x14ac:dyDescent="0.2">
      <c r="C63092"/>
      <c r="M63092"/>
    </row>
    <row r="63093" spans="3:13" ht="12.75" customHeight="1" x14ac:dyDescent="0.2">
      <c r="C63093"/>
      <c r="M63093"/>
    </row>
    <row r="63094" spans="3:13" ht="12.75" customHeight="1" x14ac:dyDescent="0.2">
      <c r="C63094"/>
      <c r="M63094"/>
    </row>
    <row r="63095" spans="3:13" ht="12.75" customHeight="1" x14ac:dyDescent="0.2">
      <c r="C63095"/>
      <c r="M63095"/>
    </row>
    <row r="63096" spans="3:13" ht="12.75" customHeight="1" x14ac:dyDescent="0.2">
      <c r="C63096"/>
      <c r="M63096"/>
    </row>
    <row r="63097" spans="3:13" ht="12.75" customHeight="1" x14ac:dyDescent="0.2">
      <c r="C63097"/>
      <c r="M63097"/>
    </row>
    <row r="63098" spans="3:13" ht="12.75" customHeight="1" x14ac:dyDescent="0.2">
      <c r="C63098"/>
      <c r="M63098"/>
    </row>
    <row r="63099" spans="3:13" ht="12.75" customHeight="1" x14ac:dyDescent="0.2">
      <c r="C63099"/>
      <c r="M63099"/>
    </row>
    <row r="63100" spans="3:13" ht="12.75" customHeight="1" x14ac:dyDescent="0.2">
      <c r="C63100"/>
      <c r="M63100"/>
    </row>
    <row r="63101" spans="3:13" ht="12.75" customHeight="1" x14ac:dyDescent="0.2">
      <c r="C63101"/>
      <c r="M63101"/>
    </row>
    <row r="63102" spans="3:13" ht="12.75" customHeight="1" x14ac:dyDescent="0.2">
      <c r="C63102"/>
      <c r="M63102"/>
    </row>
    <row r="63103" spans="3:13" ht="12.75" customHeight="1" x14ac:dyDescent="0.2">
      <c r="C63103"/>
      <c r="M63103"/>
    </row>
    <row r="63104" spans="3:13" ht="12.75" customHeight="1" x14ac:dyDescent="0.2">
      <c r="C63104"/>
      <c r="M63104"/>
    </row>
    <row r="63105" spans="3:13" ht="12.75" customHeight="1" x14ac:dyDescent="0.2">
      <c r="C63105"/>
      <c r="M63105"/>
    </row>
    <row r="63106" spans="3:13" ht="12.75" customHeight="1" x14ac:dyDescent="0.2">
      <c r="C63106"/>
      <c r="M63106"/>
    </row>
    <row r="63107" spans="3:13" ht="12.75" customHeight="1" x14ac:dyDescent="0.2">
      <c r="C63107"/>
      <c r="M63107"/>
    </row>
    <row r="63108" spans="3:13" ht="12.75" customHeight="1" x14ac:dyDescent="0.2">
      <c r="C63108"/>
      <c r="M63108"/>
    </row>
    <row r="63109" spans="3:13" ht="12.75" customHeight="1" x14ac:dyDescent="0.2">
      <c r="C63109"/>
      <c r="M63109"/>
    </row>
    <row r="63110" spans="3:13" ht="12.75" customHeight="1" x14ac:dyDescent="0.2">
      <c r="C63110"/>
      <c r="M63110"/>
    </row>
    <row r="63111" spans="3:13" ht="12.75" customHeight="1" x14ac:dyDescent="0.2">
      <c r="C63111"/>
      <c r="M63111"/>
    </row>
    <row r="63112" spans="3:13" ht="12.75" customHeight="1" x14ac:dyDescent="0.2">
      <c r="C63112"/>
      <c r="M63112"/>
    </row>
    <row r="63113" spans="3:13" ht="12.75" customHeight="1" x14ac:dyDescent="0.2">
      <c r="C63113"/>
      <c r="M63113"/>
    </row>
    <row r="63114" spans="3:13" ht="12.75" customHeight="1" x14ac:dyDescent="0.2">
      <c r="C63114"/>
      <c r="M63114"/>
    </row>
    <row r="63115" spans="3:13" ht="12.75" customHeight="1" x14ac:dyDescent="0.2">
      <c r="C63115"/>
      <c r="M63115"/>
    </row>
    <row r="63116" spans="3:13" ht="12.75" customHeight="1" x14ac:dyDescent="0.2">
      <c r="C63116"/>
      <c r="M63116"/>
    </row>
    <row r="63117" spans="3:13" ht="12.75" customHeight="1" x14ac:dyDescent="0.2">
      <c r="C63117"/>
      <c r="M63117"/>
    </row>
    <row r="63118" spans="3:13" ht="12.75" customHeight="1" x14ac:dyDescent="0.2">
      <c r="C63118"/>
      <c r="M63118"/>
    </row>
    <row r="63119" spans="3:13" ht="12.75" customHeight="1" x14ac:dyDescent="0.2">
      <c r="C63119"/>
      <c r="M63119"/>
    </row>
    <row r="63120" spans="3:13" ht="12.75" customHeight="1" x14ac:dyDescent="0.2">
      <c r="C63120"/>
      <c r="M63120"/>
    </row>
    <row r="63121" spans="3:13" ht="12.75" customHeight="1" x14ac:dyDescent="0.2">
      <c r="C63121"/>
      <c r="M63121"/>
    </row>
    <row r="63122" spans="3:13" ht="12.75" customHeight="1" x14ac:dyDescent="0.2">
      <c r="C63122"/>
      <c r="M63122"/>
    </row>
    <row r="63123" spans="3:13" ht="12.75" customHeight="1" x14ac:dyDescent="0.2">
      <c r="C63123"/>
      <c r="M63123"/>
    </row>
    <row r="63124" spans="3:13" ht="12.75" customHeight="1" x14ac:dyDescent="0.2">
      <c r="C63124"/>
      <c r="M63124"/>
    </row>
    <row r="63125" spans="3:13" ht="12.75" customHeight="1" x14ac:dyDescent="0.2">
      <c r="C63125"/>
      <c r="M63125"/>
    </row>
    <row r="63126" spans="3:13" ht="12.75" customHeight="1" x14ac:dyDescent="0.2">
      <c r="C63126"/>
      <c r="M63126"/>
    </row>
    <row r="63127" spans="3:13" ht="12.75" customHeight="1" x14ac:dyDescent="0.2">
      <c r="C63127"/>
      <c r="M63127"/>
    </row>
    <row r="63128" spans="3:13" ht="12.75" customHeight="1" x14ac:dyDescent="0.2">
      <c r="C63128"/>
      <c r="M63128"/>
    </row>
    <row r="63129" spans="3:13" ht="12.75" customHeight="1" x14ac:dyDescent="0.2">
      <c r="C63129"/>
      <c r="M63129"/>
    </row>
    <row r="63130" spans="3:13" ht="12.75" customHeight="1" x14ac:dyDescent="0.2">
      <c r="C63130"/>
      <c r="M63130"/>
    </row>
    <row r="63131" spans="3:13" ht="12.75" customHeight="1" x14ac:dyDescent="0.2">
      <c r="C63131"/>
      <c r="M63131"/>
    </row>
    <row r="63132" spans="3:13" ht="12.75" customHeight="1" x14ac:dyDescent="0.2">
      <c r="C63132"/>
      <c r="M63132"/>
    </row>
    <row r="63133" spans="3:13" ht="12.75" customHeight="1" x14ac:dyDescent="0.2">
      <c r="C63133"/>
      <c r="M63133"/>
    </row>
    <row r="63134" spans="3:13" ht="12.75" customHeight="1" x14ac:dyDescent="0.2">
      <c r="C63134"/>
      <c r="M63134"/>
    </row>
    <row r="63135" spans="3:13" ht="12.75" customHeight="1" x14ac:dyDescent="0.2">
      <c r="C63135"/>
      <c r="M63135"/>
    </row>
    <row r="63136" spans="3:13" ht="12.75" customHeight="1" x14ac:dyDescent="0.2">
      <c r="C63136"/>
      <c r="M63136"/>
    </row>
    <row r="63137" spans="3:13" ht="12.75" customHeight="1" x14ac:dyDescent="0.2">
      <c r="C63137"/>
      <c r="M63137"/>
    </row>
    <row r="63138" spans="3:13" ht="12.75" customHeight="1" x14ac:dyDescent="0.2">
      <c r="C63138"/>
      <c r="M63138"/>
    </row>
    <row r="63139" spans="3:13" ht="12.75" customHeight="1" x14ac:dyDescent="0.2">
      <c r="C63139"/>
      <c r="M63139"/>
    </row>
    <row r="63140" spans="3:13" ht="12.75" customHeight="1" x14ac:dyDescent="0.2">
      <c r="C63140"/>
      <c r="M63140"/>
    </row>
    <row r="63141" spans="3:13" ht="12.75" customHeight="1" x14ac:dyDescent="0.2">
      <c r="C63141"/>
      <c r="M63141"/>
    </row>
    <row r="63142" spans="3:13" ht="12.75" customHeight="1" x14ac:dyDescent="0.2">
      <c r="C63142"/>
      <c r="M63142"/>
    </row>
    <row r="63143" spans="3:13" ht="12.75" customHeight="1" x14ac:dyDescent="0.2">
      <c r="C63143"/>
      <c r="M63143"/>
    </row>
    <row r="63144" spans="3:13" ht="12.75" customHeight="1" x14ac:dyDescent="0.2">
      <c r="C63144"/>
      <c r="M63144"/>
    </row>
    <row r="63145" spans="3:13" ht="12.75" customHeight="1" x14ac:dyDescent="0.2">
      <c r="C63145"/>
      <c r="M63145"/>
    </row>
    <row r="63146" spans="3:13" ht="12.75" customHeight="1" x14ac:dyDescent="0.2">
      <c r="C63146"/>
      <c r="M63146"/>
    </row>
    <row r="63147" spans="3:13" ht="12.75" customHeight="1" x14ac:dyDescent="0.2">
      <c r="C63147"/>
      <c r="M63147"/>
    </row>
    <row r="63148" spans="3:13" ht="12.75" customHeight="1" x14ac:dyDescent="0.2">
      <c r="C63148"/>
      <c r="M63148"/>
    </row>
    <row r="63149" spans="3:13" ht="12.75" customHeight="1" x14ac:dyDescent="0.2">
      <c r="C63149"/>
      <c r="M63149"/>
    </row>
    <row r="63150" spans="3:13" ht="12.75" customHeight="1" x14ac:dyDescent="0.2">
      <c r="C63150"/>
      <c r="M63150"/>
    </row>
    <row r="63151" spans="3:13" ht="12.75" customHeight="1" x14ac:dyDescent="0.2">
      <c r="C63151"/>
      <c r="M63151"/>
    </row>
    <row r="63152" spans="3:13" ht="12.75" customHeight="1" x14ac:dyDescent="0.2">
      <c r="C63152"/>
      <c r="M63152"/>
    </row>
    <row r="63153" spans="3:13" ht="12.75" customHeight="1" x14ac:dyDescent="0.2">
      <c r="C63153"/>
      <c r="M63153"/>
    </row>
    <row r="63154" spans="3:13" ht="12.75" customHeight="1" x14ac:dyDescent="0.2">
      <c r="C63154"/>
      <c r="M63154"/>
    </row>
    <row r="63155" spans="3:13" ht="12.75" customHeight="1" x14ac:dyDescent="0.2">
      <c r="C63155"/>
      <c r="M63155"/>
    </row>
    <row r="63156" spans="3:13" ht="12.75" customHeight="1" x14ac:dyDescent="0.2">
      <c r="C63156"/>
      <c r="M63156"/>
    </row>
    <row r="63157" spans="3:13" ht="12.75" customHeight="1" x14ac:dyDescent="0.2">
      <c r="C63157"/>
      <c r="M63157"/>
    </row>
    <row r="63158" spans="3:13" ht="12.75" customHeight="1" x14ac:dyDescent="0.2">
      <c r="C63158"/>
      <c r="M63158"/>
    </row>
    <row r="63159" spans="3:13" ht="12.75" customHeight="1" x14ac:dyDescent="0.2">
      <c r="C63159"/>
      <c r="M63159"/>
    </row>
    <row r="63160" spans="3:13" ht="12.75" customHeight="1" x14ac:dyDescent="0.2">
      <c r="C63160"/>
      <c r="M63160"/>
    </row>
    <row r="63161" spans="3:13" ht="12.75" customHeight="1" x14ac:dyDescent="0.2">
      <c r="C63161"/>
      <c r="M63161"/>
    </row>
    <row r="63162" spans="3:13" ht="12.75" customHeight="1" x14ac:dyDescent="0.2">
      <c r="C63162"/>
      <c r="M63162"/>
    </row>
    <row r="63163" spans="3:13" ht="12.75" customHeight="1" x14ac:dyDescent="0.2">
      <c r="C63163"/>
      <c r="M63163"/>
    </row>
    <row r="63164" spans="3:13" ht="12.75" customHeight="1" x14ac:dyDescent="0.2">
      <c r="C63164"/>
      <c r="M63164"/>
    </row>
    <row r="63165" spans="3:13" ht="12.75" customHeight="1" x14ac:dyDescent="0.2">
      <c r="C63165"/>
      <c r="M63165"/>
    </row>
    <row r="63166" spans="3:13" ht="12.75" customHeight="1" x14ac:dyDescent="0.2">
      <c r="C63166"/>
      <c r="M63166"/>
    </row>
    <row r="63167" spans="3:13" ht="12.75" customHeight="1" x14ac:dyDescent="0.2">
      <c r="C63167"/>
      <c r="M63167"/>
    </row>
    <row r="63168" spans="3:13" ht="12.75" customHeight="1" x14ac:dyDescent="0.2">
      <c r="C63168"/>
      <c r="M63168"/>
    </row>
    <row r="63169" spans="3:13" ht="12.75" customHeight="1" x14ac:dyDescent="0.2">
      <c r="C63169"/>
      <c r="M63169"/>
    </row>
    <row r="63170" spans="3:13" ht="12.75" customHeight="1" x14ac:dyDescent="0.2">
      <c r="C63170"/>
      <c r="M63170"/>
    </row>
    <row r="63171" spans="3:13" ht="12.75" customHeight="1" x14ac:dyDescent="0.2">
      <c r="C63171"/>
      <c r="M63171"/>
    </row>
    <row r="63172" spans="3:13" ht="12.75" customHeight="1" x14ac:dyDescent="0.2">
      <c r="C63172"/>
      <c r="M63172"/>
    </row>
    <row r="63173" spans="3:13" ht="12.75" customHeight="1" x14ac:dyDescent="0.2">
      <c r="C63173"/>
      <c r="M63173"/>
    </row>
    <row r="63174" spans="3:13" ht="12.75" customHeight="1" x14ac:dyDescent="0.2">
      <c r="C63174"/>
      <c r="M63174"/>
    </row>
    <row r="63175" spans="3:13" ht="12.75" customHeight="1" x14ac:dyDescent="0.2">
      <c r="C63175"/>
      <c r="M63175"/>
    </row>
    <row r="63176" spans="3:13" ht="12.75" customHeight="1" x14ac:dyDescent="0.2">
      <c r="C63176"/>
      <c r="M63176"/>
    </row>
    <row r="63177" spans="3:13" ht="12.75" customHeight="1" x14ac:dyDescent="0.2">
      <c r="C63177"/>
      <c r="M63177"/>
    </row>
    <row r="63178" spans="3:13" ht="12.75" customHeight="1" x14ac:dyDescent="0.2">
      <c r="C63178"/>
      <c r="M63178"/>
    </row>
    <row r="63179" spans="3:13" ht="12.75" customHeight="1" x14ac:dyDescent="0.2">
      <c r="C63179"/>
      <c r="M63179"/>
    </row>
    <row r="63180" spans="3:13" ht="12.75" customHeight="1" x14ac:dyDescent="0.2">
      <c r="C63180"/>
      <c r="M63180"/>
    </row>
    <row r="63181" spans="3:13" ht="12.75" customHeight="1" x14ac:dyDescent="0.2">
      <c r="C63181"/>
      <c r="M63181"/>
    </row>
    <row r="63182" spans="3:13" ht="12.75" customHeight="1" x14ac:dyDescent="0.2">
      <c r="C63182"/>
      <c r="M63182"/>
    </row>
    <row r="63183" spans="3:13" ht="12.75" customHeight="1" x14ac:dyDescent="0.2">
      <c r="C63183"/>
      <c r="M63183"/>
    </row>
    <row r="63184" spans="3:13" ht="12.75" customHeight="1" x14ac:dyDescent="0.2">
      <c r="C63184"/>
      <c r="M63184"/>
    </row>
    <row r="63185" spans="3:13" ht="12.75" customHeight="1" x14ac:dyDescent="0.2">
      <c r="C63185"/>
      <c r="M63185"/>
    </row>
    <row r="63186" spans="3:13" ht="12.75" customHeight="1" x14ac:dyDescent="0.2">
      <c r="C63186"/>
      <c r="M63186"/>
    </row>
    <row r="63187" spans="3:13" ht="12.75" customHeight="1" x14ac:dyDescent="0.2">
      <c r="C63187"/>
      <c r="M63187"/>
    </row>
    <row r="63188" spans="3:13" ht="12.75" customHeight="1" x14ac:dyDescent="0.2">
      <c r="C63188"/>
      <c r="M63188"/>
    </row>
    <row r="63189" spans="3:13" ht="12.75" customHeight="1" x14ac:dyDescent="0.2">
      <c r="C63189"/>
      <c r="M63189"/>
    </row>
    <row r="63190" spans="3:13" ht="12.75" customHeight="1" x14ac:dyDescent="0.2">
      <c r="C63190"/>
      <c r="M63190"/>
    </row>
    <row r="63191" spans="3:13" ht="12.75" customHeight="1" x14ac:dyDescent="0.2">
      <c r="C63191"/>
      <c r="M63191"/>
    </row>
    <row r="63192" spans="3:13" ht="12.75" customHeight="1" x14ac:dyDescent="0.2">
      <c r="C63192"/>
      <c r="M63192"/>
    </row>
    <row r="63193" spans="3:13" ht="12.75" customHeight="1" x14ac:dyDescent="0.2">
      <c r="C63193"/>
      <c r="M63193"/>
    </row>
    <row r="63194" spans="3:13" ht="12.75" customHeight="1" x14ac:dyDescent="0.2">
      <c r="C63194"/>
      <c r="M63194"/>
    </row>
    <row r="63195" spans="3:13" ht="12.75" customHeight="1" x14ac:dyDescent="0.2">
      <c r="C63195"/>
      <c r="M63195"/>
    </row>
    <row r="63196" spans="3:13" ht="12.75" customHeight="1" x14ac:dyDescent="0.2">
      <c r="C63196"/>
      <c r="M63196"/>
    </row>
    <row r="63197" spans="3:13" ht="12.75" customHeight="1" x14ac:dyDescent="0.2">
      <c r="C63197"/>
      <c r="M63197"/>
    </row>
    <row r="63198" spans="3:13" ht="12.75" customHeight="1" x14ac:dyDescent="0.2">
      <c r="C63198"/>
      <c r="M63198"/>
    </row>
    <row r="63199" spans="3:13" ht="12.75" customHeight="1" x14ac:dyDescent="0.2">
      <c r="C63199"/>
      <c r="M63199"/>
    </row>
    <row r="63200" spans="3:13" ht="12.75" customHeight="1" x14ac:dyDescent="0.2">
      <c r="C63200"/>
      <c r="M63200"/>
    </row>
    <row r="63201" spans="3:13" ht="12.75" customHeight="1" x14ac:dyDescent="0.2">
      <c r="C63201"/>
      <c r="M63201"/>
    </row>
    <row r="63202" spans="3:13" ht="12.75" customHeight="1" x14ac:dyDescent="0.2">
      <c r="C63202"/>
      <c r="M63202"/>
    </row>
    <row r="63203" spans="3:13" ht="12.75" customHeight="1" x14ac:dyDescent="0.2">
      <c r="C63203"/>
      <c r="M63203"/>
    </row>
    <row r="63204" spans="3:13" ht="12.75" customHeight="1" x14ac:dyDescent="0.2">
      <c r="C63204"/>
      <c r="M63204"/>
    </row>
    <row r="63205" spans="3:13" ht="12.75" customHeight="1" x14ac:dyDescent="0.2">
      <c r="C63205"/>
      <c r="M63205"/>
    </row>
    <row r="63206" spans="3:13" ht="12.75" customHeight="1" x14ac:dyDescent="0.2">
      <c r="C63206"/>
      <c r="M63206"/>
    </row>
    <row r="63207" spans="3:13" ht="12.75" customHeight="1" x14ac:dyDescent="0.2">
      <c r="C63207"/>
      <c r="M63207"/>
    </row>
    <row r="63208" spans="3:13" ht="12.75" customHeight="1" x14ac:dyDescent="0.2">
      <c r="C63208"/>
      <c r="M63208"/>
    </row>
    <row r="63209" spans="3:13" ht="12.75" customHeight="1" x14ac:dyDescent="0.2">
      <c r="C63209"/>
      <c r="M63209"/>
    </row>
    <row r="63210" spans="3:13" ht="12.75" customHeight="1" x14ac:dyDescent="0.2">
      <c r="C63210"/>
      <c r="M63210"/>
    </row>
    <row r="63211" spans="3:13" ht="12.75" customHeight="1" x14ac:dyDescent="0.2">
      <c r="C63211"/>
      <c r="M63211"/>
    </row>
    <row r="63212" spans="3:13" ht="12.75" customHeight="1" x14ac:dyDescent="0.2">
      <c r="C63212"/>
      <c r="M63212"/>
    </row>
    <row r="63213" spans="3:13" ht="12.75" customHeight="1" x14ac:dyDescent="0.2">
      <c r="C63213"/>
      <c r="M63213"/>
    </row>
    <row r="63214" spans="3:13" ht="12.75" customHeight="1" x14ac:dyDescent="0.2">
      <c r="C63214"/>
      <c r="M63214"/>
    </row>
    <row r="63215" spans="3:13" ht="12.75" customHeight="1" x14ac:dyDescent="0.2">
      <c r="C63215"/>
      <c r="M63215"/>
    </row>
    <row r="63216" spans="3:13" ht="12.75" customHeight="1" x14ac:dyDescent="0.2">
      <c r="C63216"/>
      <c r="M63216"/>
    </row>
    <row r="63217" spans="3:13" ht="12.75" customHeight="1" x14ac:dyDescent="0.2">
      <c r="C63217"/>
      <c r="M63217"/>
    </row>
    <row r="63218" spans="3:13" ht="12.75" customHeight="1" x14ac:dyDescent="0.2">
      <c r="C63218"/>
      <c r="M63218"/>
    </row>
    <row r="63219" spans="3:13" ht="12.75" customHeight="1" x14ac:dyDescent="0.2">
      <c r="C63219"/>
      <c r="M63219"/>
    </row>
    <row r="63220" spans="3:13" ht="12.75" customHeight="1" x14ac:dyDescent="0.2">
      <c r="C63220"/>
      <c r="M63220"/>
    </row>
    <row r="63221" spans="3:13" ht="12.75" customHeight="1" x14ac:dyDescent="0.2">
      <c r="C63221"/>
      <c r="M63221"/>
    </row>
    <row r="63222" spans="3:13" ht="12.75" customHeight="1" x14ac:dyDescent="0.2">
      <c r="C63222"/>
      <c r="M63222"/>
    </row>
    <row r="63223" spans="3:13" ht="12.75" customHeight="1" x14ac:dyDescent="0.2">
      <c r="C63223"/>
      <c r="M63223"/>
    </row>
    <row r="63224" spans="3:13" ht="12.75" customHeight="1" x14ac:dyDescent="0.2">
      <c r="C63224"/>
      <c r="M63224"/>
    </row>
    <row r="63225" spans="3:13" ht="12.75" customHeight="1" x14ac:dyDescent="0.2">
      <c r="C63225"/>
      <c r="M63225"/>
    </row>
    <row r="63226" spans="3:13" ht="12.75" customHeight="1" x14ac:dyDescent="0.2">
      <c r="C63226"/>
      <c r="M63226"/>
    </row>
    <row r="63227" spans="3:13" ht="12.75" customHeight="1" x14ac:dyDescent="0.2">
      <c r="C63227"/>
      <c r="M63227"/>
    </row>
    <row r="63228" spans="3:13" ht="12.75" customHeight="1" x14ac:dyDescent="0.2">
      <c r="C63228"/>
      <c r="M63228"/>
    </row>
    <row r="63229" spans="3:13" ht="12.75" customHeight="1" x14ac:dyDescent="0.2">
      <c r="C63229"/>
      <c r="M63229"/>
    </row>
    <row r="63230" spans="3:13" ht="12.75" customHeight="1" x14ac:dyDescent="0.2">
      <c r="C63230"/>
      <c r="M63230"/>
    </row>
    <row r="63231" spans="3:13" ht="12.75" customHeight="1" x14ac:dyDescent="0.2">
      <c r="C63231"/>
      <c r="M63231"/>
    </row>
    <row r="63232" spans="3:13" ht="12.75" customHeight="1" x14ac:dyDescent="0.2">
      <c r="C63232"/>
      <c r="M63232"/>
    </row>
    <row r="63233" spans="3:13" ht="12.75" customHeight="1" x14ac:dyDescent="0.2">
      <c r="C63233"/>
      <c r="M63233"/>
    </row>
    <row r="63234" spans="3:13" ht="12.75" customHeight="1" x14ac:dyDescent="0.2">
      <c r="C63234"/>
      <c r="M63234"/>
    </row>
    <row r="63235" spans="3:13" ht="12.75" customHeight="1" x14ac:dyDescent="0.2">
      <c r="C63235"/>
      <c r="M63235"/>
    </row>
    <row r="63236" spans="3:13" ht="12.75" customHeight="1" x14ac:dyDescent="0.2">
      <c r="C63236"/>
      <c r="M63236"/>
    </row>
    <row r="63237" spans="3:13" ht="12.75" customHeight="1" x14ac:dyDescent="0.2">
      <c r="C63237"/>
      <c r="M63237"/>
    </row>
    <row r="63238" spans="3:13" ht="12.75" customHeight="1" x14ac:dyDescent="0.2">
      <c r="C63238"/>
      <c r="M63238"/>
    </row>
    <row r="63239" spans="3:13" ht="12.75" customHeight="1" x14ac:dyDescent="0.2">
      <c r="C63239"/>
      <c r="M63239"/>
    </row>
    <row r="63240" spans="3:13" ht="12.75" customHeight="1" x14ac:dyDescent="0.2">
      <c r="C63240"/>
      <c r="M63240"/>
    </row>
    <row r="63241" spans="3:13" ht="12.75" customHeight="1" x14ac:dyDescent="0.2">
      <c r="C63241"/>
      <c r="M63241"/>
    </row>
    <row r="63242" spans="3:13" ht="12.75" customHeight="1" x14ac:dyDescent="0.2">
      <c r="C63242"/>
      <c r="M63242"/>
    </row>
    <row r="63243" spans="3:13" ht="12.75" customHeight="1" x14ac:dyDescent="0.2">
      <c r="C63243"/>
      <c r="M63243"/>
    </row>
    <row r="63244" spans="3:13" ht="12.75" customHeight="1" x14ac:dyDescent="0.2">
      <c r="C63244"/>
      <c r="M63244"/>
    </row>
    <row r="63245" spans="3:13" ht="12.75" customHeight="1" x14ac:dyDescent="0.2">
      <c r="C63245"/>
      <c r="M63245"/>
    </row>
    <row r="63246" spans="3:13" ht="12.75" customHeight="1" x14ac:dyDescent="0.2">
      <c r="C63246"/>
      <c r="M63246"/>
    </row>
    <row r="63247" spans="3:13" ht="12.75" customHeight="1" x14ac:dyDescent="0.2">
      <c r="C63247"/>
      <c r="M63247"/>
    </row>
    <row r="63248" spans="3:13" ht="12.75" customHeight="1" x14ac:dyDescent="0.2">
      <c r="C63248"/>
      <c r="M63248"/>
    </row>
    <row r="63249" spans="3:13" ht="12.75" customHeight="1" x14ac:dyDescent="0.2">
      <c r="C63249"/>
      <c r="M63249"/>
    </row>
    <row r="63250" spans="3:13" ht="12.75" customHeight="1" x14ac:dyDescent="0.2">
      <c r="C63250"/>
      <c r="M63250"/>
    </row>
    <row r="63251" spans="3:13" ht="12.75" customHeight="1" x14ac:dyDescent="0.2">
      <c r="C63251"/>
      <c r="M63251"/>
    </row>
    <row r="63252" spans="3:13" ht="12.75" customHeight="1" x14ac:dyDescent="0.2">
      <c r="C63252"/>
      <c r="M63252"/>
    </row>
    <row r="63253" spans="3:13" ht="12.75" customHeight="1" x14ac:dyDescent="0.2">
      <c r="C63253"/>
      <c r="M63253"/>
    </row>
    <row r="63254" spans="3:13" ht="12.75" customHeight="1" x14ac:dyDescent="0.2">
      <c r="C63254"/>
      <c r="M63254"/>
    </row>
    <row r="63255" spans="3:13" ht="12.75" customHeight="1" x14ac:dyDescent="0.2">
      <c r="C63255"/>
      <c r="M63255"/>
    </row>
    <row r="63256" spans="3:13" ht="12.75" customHeight="1" x14ac:dyDescent="0.2">
      <c r="C63256"/>
      <c r="M63256"/>
    </row>
    <row r="63257" spans="3:13" ht="12.75" customHeight="1" x14ac:dyDescent="0.2">
      <c r="C63257"/>
      <c r="M63257"/>
    </row>
    <row r="63258" spans="3:13" ht="12.75" customHeight="1" x14ac:dyDescent="0.2">
      <c r="C63258"/>
      <c r="M63258"/>
    </row>
    <row r="63259" spans="3:13" ht="12.75" customHeight="1" x14ac:dyDescent="0.2">
      <c r="C63259"/>
      <c r="M63259"/>
    </row>
    <row r="63260" spans="3:13" ht="12.75" customHeight="1" x14ac:dyDescent="0.2">
      <c r="C63260"/>
      <c r="M63260"/>
    </row>
    <row r="63261" spans="3:13" ht="12.75" customHeight="1" x14ac:dyDescent="0.2">
      <c r="C63261"/>
      <c r="M63261"/>
    </row>
    <row r="63262" spans="3:13" ht="12.75" customHeight="1" x14ac:dyDescent="0.2">
      <c r="C63262"/>
      <c r="M63262"/>
    </row>
    <row r="63263" spans="3:13" ht="12.75" customHeight="1" x14ac:dyDescent="0.2">
      <c r="C63263"/>
      <c r="M63263"/>
    </row>
    <row r="63264" spans="3:13" ht="12.75" customHeight="1" x14ac:dyDescent="0.2">
      <c r="C63264"/>
      <c r="M63264"/>
    </row>
    <row r="63265" spans="3:13" ht="12.75" customHeight="1" x14ac:dyDescent="0.2">
      <c r="C63265"/>
      <c r="M63265"/>
    </row>
    <row r="63266" spans="3:13" ht="12.75" customHeight="1" x14ac:dyDescent="0.2">
      <c r="C63266"/>
      <c r="M63266"/>
    </row>
    <row r="63267" spans="3:13" ht="12.75" customHeight="1" x14ac:dyDescent="0.2">
      <c r="C63267"/>
      <c r="M63267"/>
    </row>
    <row r="63268" spans="3:13" ht="12.75" customHeight="1" x14ac:dyDescent="0.2">
      <c r="C63268"/>
      <c r="M63268"/>
    </row>
    <row r="63269" spans="3:13" ht="12.75" customHeight="1" x14ac:dyDescent="0.2">
      <c r="C63269"/>
      <c r="M63269"/>
    </row>
    <row r="63270" spans="3:13" ht="12.75" customHeight="1" x14ac:dyDescent="0.2">
      <c r="C63270"/>
      <c r="M63270"/>
    </row>
    <row r="63271" spans="3:13" ht="12.75" customHeight="1" x14ac:dyDescent="0.2">
      <c r="C63271"/>
      <c r="M63271"/>
    </row>
    <row r="63272" spans="3:13" ht="12.75" customHeight="1" x14ac:dyDescent="0.2">
      <c r="C63272"/>
      <c r="M63272"/>
    </row>
    <row r="63273" spans="3:13" ht="12.75" customHeight="1" x14ac:dyDescent="0.2">
      <c r="C63273"/>
      <c r="M63273"/>
    </row>
    <row r="63274" spans="3:13" ht="12.75" customHeight="1" x14ac:dyDescent="0.2">
      <c r="C63274"/>
      <c r="M63274"/>
    </row>
    <row r="63275" spans="3:13" ht="12.75" customHeight="1" x14ac:dyDescent="0.2">
      <c r="C63275"/>
      <c r="M63275"/>
    </row>
    <row r="63276" spans="3:13" ht="12.75" customHeight="1" x14ac:dyDescent="0.2">
      <c r="C63276"/>
      <c r="M63276"/>
    </row>
    <row r="63277" spans="3:13" ht="12.75" customHeight="1" x14ac:dyDescent="0.2">
      <c r="C63277"/>
      <c r="M63277"/>
    </row>
    <row r="63278" spans="3:13" ht="12.75" customHeight="1" x14ac:dyDescent="0.2">
      <c r="C63278"/>
      <c r="M63278"/>
    </row>
    <row r="63279" spans="3:13" ht="12.75" customHeight="1" x14ac:dyDescent="0.2">
      <c r="C63279"/>
      <c r="M63279"/>
    </row>
    <row r="63280" spans="3:13" ht="12.75" customHeight="1" x14ac:dyDescent="0.2">
      <c r="C63280"/>
      <c r="M63280"/>
    </row>
    <row r="63281" spans="3:13" ht="12.75" customHeight="1" x14ac:dyDescent="0.2">
      <c r="C63281"/>
      <c r="M63281"/>
    </row>
    <row r="63282" spans="3:13" ht="12.75" customHeight="1" x14ac:dyDescent="0.2">
      <c r="C63282"/>
      <c r="M63282"/>
    </row>
    <row r="63283" spans="3:13" ht="12.75" customHeight="1" x14ac:dyDescent="0.2">
      <c r="C63283"/>
      <c r="M63283"/>
    </row>
    <row r="63284" spans="3:13" ht="12.75" customHeight="1" x14ac:dyDescent="0.2">
      <c r="C63284"/>
      <c r="M63284"/>
    </row>
    <row r="63285" spans="3:13" ht="12.75" customHeight="1" x14ac:dyDescent="0.2">
      <c r="C63285"/>
      <c r="M63285"/>
    </row>
    <row r="63286" spans="3:13" ht="12.75" customHeight="1" x14ac:dyDescent="0.2">
      <c r="C63286"/>
      <c r="M63286"/>
    </row>
    <row r="63287" spans="3:13" ht="12.75" customHeight="1" x14ac:dyDescent="0.2">
      <c r="C63287"/>
      <c r="M63287"/>
    </row>
    <row r="63288" spans="3:13" ht="12.75" customHeight="1" x14ac:dyDescent="0.2">
      <c r="C63288"/>
      <c r="M63288"/>
    </row>
    <row r="63289" spans="3:13" ht="12.75" customHeight="1" x14ac:dyDescent="0.2">
      <c r="C63289"/>
      <c r="M63289"/>
    </row>
    <row r="63290" spans="3:13" ht="12.75" customHeight="1" x14ac:dyDescent="0.2">
      <c r="C63290"/>
      <c r="M63290"/>
    </row>
    <row r="63291" spans="3:13" ht="12.75" customHeight="1" x14ac:dyDescent="0.2">
      <c r="C63291"/>
      <c r="M63291"/>
    </row>
    <row r="63292" spans="3:13" ht="12.75" customHeight="1" x14ac:dyDescent="0.2">
      <c r="C63292"/>
      <c r="M63292"/>
    </row>
    <row r="63293" spans="3:13" ht="12.75" customHeight="1" x14ac:dyDescent="0.2">
      <c r="C63293"/>
      <c r="M63293"/>
    </row>
    <row r="63294" spans="3:13" ht="12.75" customHeight="1" x14ac:dyDescent="0.2">
      <c r="C63294"/>
      <c r="M63294"/>
    </row>
    <row r="63295" spans="3:13" ht="12.75" customHeight="1" x14ac:dyDescent="0.2">
      <c r="C63295"/>
      <c r="M63295"/>
    </row>
    <row r="63296" spans="3:13" ht="12.75" customHeight="1" x14ac:dyDescent="0.2">
      <c r="C63296"/>
      <c r="M63296"/>
    </row>
    <row r="63297" spans="3:13" ht="12.75" customHeight="1" x14ac:dyDescent="0.2">
      <c r="C63297"/>
      <c r="M63297"/>
    </row>
    <row r="63298" spans="3:13" ht="12.75" customHeight="1" x14ac:dyDescent="0.2">
      <c r="C63298"/>
      <c r="M63298"/>
    </row>
    <row r="63299" spans="3:13" ht="12.75" customHeight="1" x14ac:dyDescent="0.2">
      <c r="C63299"/>
      <c r="M63299"/>
    </row>
    <row r="63300" spans="3:13" ht="12.75" customHeight="1" x14ac:dyDescent="0.2">
      <c r="C63300"/>
      <c r="M63300"/>
    </row>
    <row r="63301" spans="3:13" ht="12.75" customHeight="1" x14ac:dyDescent="0.2">
      <c r="C63301"/>
      <c r="M63301"/>
    </row>
    <row r="63302" spans="3:13" ht="12.75" customHeight="1" x14ac:dyDescent="0.2">
      <c r="C63302"/>
      <c r="M63302"/>
    </row>
    <row r="63303" spans="3:13" ht="12.75" customHeight="1" x14ac:dyDescent="0.2">
      <c r="C63303"/>
      <c r="M63303"/>
    </row>
    <row r="63304" spans="3:13" ht="12.75" customHeight="1" x14ac:dyDescent="0.2">
      <c r="C63304"/>
      <c r="M63304"/>
    </row>
    <row r="63305" spans="3:13" ht="12.75" customHeight="1" x14ac:dyDescent="0.2">
      <c r="C63305"/>
      <c r="M63305"/>
    </row>
    <row r="63306" spans="3:13" ht="12.75" customHeight="1" x14ac:dyDescent="0.2">
      <c r="C63306"/>
      <c r="M63306"/>
    </row>
    <row r="63307" spans="3:13" ht="12.75" customHeight="1" x14ac:dyDescent="0.2">
      <c r="C63307"/>
      <c r="M63307"/>
    </row>
    <row r="63308" spans="3:13" ht="12.75" customHeight="1" x14ac:dyDescent="0.2">
      <c r="C63308"/>
      <c r="M63308"/>
    </row>
    <row r="63309" spans="3:13" ht="12.75" customHeight="1" x14ac:dyDescent="0.2">
      <c r="C63309"/>
      <c r="M63309"/>
    </row>
    <row r="63310" spans="3:13" ht="12.75" customHeight="1" x14ac:dyDescent="0.2">
      <c r="C63310"/>
      <c r="M63310"/>
    </row>
    <row r="63311" spans="3:13" ht="12.75" customHeight="1" x14ac:dyDescent="0.2">
      <c r="C63311"/>
      <c r="M63311"/>
    </row>
    <row r="63312" spans="3:13" ht="12.75" customHeight="1" x14ac:dyDescent="0.2">
      <c r="C63312"/>
      <c r="M63312"/>
    </row>
    <row r="63313" spans="3:13" ht="12.75" customHeight="1" x14ac:dyDescent="0.2">
      <c r="C63313"/>
      <c r="M63313"/>
    </row>
    <row r="63314" spans="3:13" ht="12.75" customHeight="1" x14ac:dyDescent="0.2">
      <c r="C63314"/>
      <c r="M63314"/>
    </row>
    <row r="63315" spans="3:13" ht="12.75" customHeight="1" x14ac:dyDescent="0.2">
      <c r="C63315"/>
      <c r="M63315"/>
    </row>
    <row r="63316" spans="3:13" ht="12.75" customHeight="1" x14ac:dyDescent="0.2">
      <c r="C63316"/>
      <c r="M63316"/>
    </row>
    <row r="63317" spans="3:13" ht="12.75" customHeight="1" x14ac:dyDescent="0.2">
      <c r="C63317"/>
      <c r="M63317"/>
    </row>
    <row r="63318" spans="3:13" ht="12.75" customHeight="1" x14ac:dyDescent="0.2">
      <c r="C63318"/>
      <c r="M63318"/>
    </row>
    <row r="63319" spans="3:13" ht="12.75" customHeight="1" x14ac:dyDescent="0.2">
      <c r="C63319"/>
      <c r="M63319"/>
    </row>
    <row r="63320" spans="3:13" ht="12.75" customHeight="1" x14ac:dyDescent="0.2">
      <c r="C63320"/>
      <c r="M63320"/>
    </row>
    <row r="63321" spans="3:13" ht="12.75" customHeight="1" x14ac:dyDescent="0.2">
      <c r="C63321"/>
      <c r="M63321"/>
    </row>
    <row r="63322" spans="3:13" ht="12.75" customHeight="1" x14ac:dyDescent="0.2">
      <c r="C63322"/>
      <c r="M63322"/>
    </row>
    <row r="63323" spans="3:13" ht="12.75" customHeight="1" x14ac:dyDescent="0.2">
      <c r="C63323"/>
      <c r="M63323"/>
    </row>
    <row r="63324" spans="3:13" ht="12.75" customHeight="1" x14ac:dyDescent="0.2">
      <c r="C63324"/>
      <c r="M63324"/>
    </row>
    <row r="63325" spans="3:13" ht="12.75" customHeight="1" x14ac:dyDescent="0.2">
      <c r="C63325"/>
      <c r="M63325"/>
    </row>
    <row r="63326" spans="3:13" ht="12.75" customHeight="1" x14ac:dyDescent="0.2">
      <c r="C63326"/>
      <c r="M63326"/>
    </row>
    <row r="63327" spans="3:13" ht="12.75" customHeight="1" x14ac:dyDescent="0.2">
      <c r="C63327"/>
      <c r="M63327"/>
    </row>
    <row r="63328" spans="3:13" ht="12.75" customHeight="1" x14ac:dyDescent="0.2">
      <c r="C63328"/>
      <c r="M63328"/>
    </row>
    <row r="63329" spans="3:13" ht="12.75" customHeight="1" x14ac:dyDescent="0.2">
      <c r="C63329"/>
      <c r="M63329"/>
    </row>
    <row r="63330" spans="3:13" ht="12.75" customHeight="1" x14ac:dyDescent="0.2">
      <c r="C63330"/>
      <c r="M63330"/>
    </row>
    <row r="63331" spans="3:13" ht="12.75" customHeight="1" x14ac:dyDescent="0.2">
      <c r="C63331"/>
      <c r="M63331"/>
    </row>
    <row r="63332" spans="3:13" ht="12.75" customHeight="1" x14ac:dyDescent="0.2">
      <c r="C63332"/>
      <c r="M63332"/>
    </row>
    <row r="63333" spans="3:13" ht="12.75" customHeight="1" x14ac:dyDescent="0.2">
      <c r="C63333"/>
      <c r="M63333"/>
    </row>
    <row r="63334" spans="3:13" ht="12.75" customHeight="1" x14ac:dyDescent="0.2">
      <c r="C63334"/>
      <c r="M63334"/>
    </row>
    <row r="63335" spans="3:13" ht="12.75" customHeight="1" x14ac:dyDescent="0.2">
      <c r="C63335"/>
      <c r="M63335"/>
    </row>
    <row r="63336" spans="3:13" ht="12.75" customHeight="1" x14ac:dyDescent="0.2">
      <c r="C63336"/>
      <c r="M63336"/>
    </row>
    <row r="63337" spans="3:13" ht="12.75" customHeight="1" x14ac:dyDescent="0.2">
      <c r="C63337"/>
      <c r="M63337"/>
    </row>
    <row r="63338" spans="3:13" ht="12.75" customHeight="1" x14ac:dyDescent="0.2">
      <c r="C63338"/>
      <c r="M63338"/>
    </row>
    <row r="63339" spans="3:13" ht="12.75" customHeight="1" x14ac:dyDescent="0.2">
      <c r="C63339"/>
      <c r="M63339"/>
    </row>
    <row r="63340" spans="3:13" ht="12.75" customHeight="1" x14ac:dyDescent="0.2">
      <c r="C63340"/>
      <c r="M63340"/>
    </row>
    <row r="63341" spans="3:13" ht="12.75" customHeight="1" x14ac:dyDescent="0.2">
      <c r="C63341"/>
      <c r="M63341"/>
    </row>
    <row r="63342" spans="3:13" ht="12.75" customHeight="1" x14ac:dyDescent="0.2">
      <c r="C63342"/>
      <c r="M63342"/>
    </row>
    <row r="63343" spans="3:13" ht="12.75" customHeight="1" x14ac:dyDescent="0.2">
      <c r="C63343"/>
      <c r="M63343"/>
    </row>
    <row r="63344" spans="3:13" ht="12.75" customHeight="1" x14ac:dyDescent="0.2">
      <c r="C63344"/>
      <c r="M63344"/>
    </row>
    <row r="63345" spans="3:13" ht="12.75" customHeight="1" x14ac:dyDescent="0.2">
      <c r="C63345"/>
      <c r="M63345"/>
    </row>
    <row r="63346" spans="3:13" ht="12.75" customHeight="1" x14ac:dyDescent="0.2">
      <c r="C63346"/>
      <c r="M63346"/>
    </row>
    <row r="63347" spans="3:13" ht="12.75" customHeight="1" x14ac:dyDescent="0.2">
      <c r="C63347"/>
      <c r="M63347"/>
    </row>
    <row r="63348" spans="3:13" ht="12.75" customHeight="1" x14ac:dyDescent="0.2">
      <c r="C63348"/>
      <c r="M63348"/>
    </row>
    <row r="63349" spans="3:13" ht="12.75" customHeight="1" x14ac:dyDescent="0.2">
      <c r="C63349"/>
      <c r="M63349"/>
    </row>
    <row r="63350" spans="3:13" ht="12.75" customHeight="1" x14ac:dyDescent="0.2">
      <c r="C63350"/>
      <c r="M63350"/>
    </row>
    <row r="63351" spans="3:13" ht="12.75" customHeight="1" x14ac:dyDescent="0.2">
      <c r="C63351"/>
      <c r="M63351"/>
    </row>
    <row r="63352" spans="3:13" ht="12.75" customHeight="1" x14ac:dyDescent="0.2">
      <c r="C63352"/>
      <c r="M63352"/>
    </row>
    <row r="63353" spans="3:13" ht="12.75" customHeight="1" x14ac:dyDescent="0.2">
      <c r="C63353"/>
      <c r="M63353"/>
    </row>
    <row r="63354" spans="3:13" ht="12.75" customHeight="1" x14ac:dyDescent="0.2">
      <c r="C63354"/>
      <c r="M63354"/>
    </row>
    <row r="63355" spans="3:13" ht="12.75" customHeight="1" x14ac:dyDescent="0.2">
      <c r="C63355"/>
      <c r="M63355"/>
    </row>
    <row r="63356" spans="3:13" ht="12.75" customHeight="1" x14ac:dyDescent="0.2">
      <c r="C63356"/>
      <c r="M63356"/>
    </row>
    <row r="63357" spans="3:13" ht="12.75" customHeight="1" x14ac:dyDescent="0.2">
      <c r="C63357"/>
      <c r="M63357"/>
    </row>
    <row r="63358" spans="3:13" ht="12.75" customHeight="1" x14ac:dyDescent="0.2">
      <c r="C63358"/>
      <c r="M63358"/>
    </row>
    <row r="63359" spans="3:13" ht="12.75" customHeight="1" x14ac:dyDescent="0.2">
      <c r="C63359"/>
      <c r="M63359"/>
    </row>
    <row r="63360" spans="3:13" ht="12.75" customHeight="1" x14ac:dyDescent="0.2">
      <c r="C63360"/>
      <c r="M63360"/>
    </row>
    <row r="63361" spans="3:13" ht="12.75" customHeight="1" x14ac:dyDescent="0.2">
      <c r="C63361"/>
      <c r="M63361"/>
    </row>
    <row r="63362" spans="3:13" ht="12.75" customHeight="1" x14ac:dyDescent="0.2">
      <c r="C63362"/>
      <c r="M63362"/>
    </row>
    <row r="63363" spans="3:13" ht="12.75" customHeight="1" x14ac:dyDescent="0.2">
      <c r="C63363"/>
      <c r="M63363"/>
    </row>
    <row r="63364" spans="3:13" ht="12.75" customHeight="1" x14ac:dyDescent="0.2">
      <c r="C63364"/>
      <c r="M63364"/>
    </row>
    <row r="63365" spans="3:13" ht="12.75" customHeight="1" x14ac:dyDescent="0.2">
      <c r="C63365"/>
      <c r="M63365"/>
    </row>
    <row r="63366" spans="3:13" ht="12.75" customHeight="1" x14ac:dyDescent="0.2">
      <c r="C63366"/>
      <c r="M63366"/>
    </row>
    <row r="63367" spans="3:13" ht="12.75" customHeight="1" x14ac:dyDescent="0.2">
      <c r="C63367"/>
      <c r="M63367"/>
    </row>
    <row r="63368" spans="3:13" ht="12.75" customHeight="1" x14ac:dyDescent="0.2">
      <c r="C63368"/>
      <c r="M63368"/>
    </row>
    <row r="63369" spans="3:13" ht="12.75" customHeight="1" x14ac:dyDescent="0.2">
      <c r="C63369"/>
      <c r="M63369"/>
    </row>
    <row r="63370" spans="3:13" ht="12.75" customHeight="1" x14ac:dyDescent="0.2">
      <c r="C63370"/>
      <c r="M63370"/>
    </row>
    <row r="63371" spans="3:13" ht="12.75" customHeight="1" x14ac:dyDescent="0.2">
      <c r="C63371"/>
      <c r="M63371"/>
    </row>
    <row r="63372" spans="3:13" ht="12.75" customHeight="1" x14ac:dyDescent="0.2">
      <c r="C63372"/>
      <c r="M63372"/>
    </row>
    <row r="63373" spans="3:13" ht="12.75" customHeight="1" x14ac:dyDescent="0.2">
      <c r="C63373"/>
      <c r="M63373"/>
    </row>
    <row r="63374" spans="3:13" ht="12.75" customHeight="1" x14ac:dyDescent="0.2">
      <c r="C63374"/>
      <c r="M63374"/>
    </row>
    <row r="63375" spans="3:13" ht="12.75" customHeight="1" x14ac:dyDescent="0.2">
      <c r="C63375"/>
      <c r="M63375"/>
    </row>
    <row r="63376" spans="3:13" ht="12.75" customHeight="1" x14ac:dyDescent="0.2">
      <c r="C63376"/>
      <c r="M63376"/>
    </row>
    <row r="63377" spans="3:13" ht="12.75" customHeight="1" x14ac:dyDescent="0.2">
      <c r="C63377"/>
      <c r="M63377"/>
    </row>
    <row r="63378" spans="3:13" ht="12.75" customHeight="1" x14ac:dyDescent="0.2">
      <c r="C63378"/>
      <c r="M63378"/>
    </row>
    <row r="63379" spans="3:13" ht="12.75" customHeight="1" x14ac:dyDescent="0.2">
      <c r="C63379"/>
      <c r="M63379"/>
    </row>
    <row r="63380" spans="3:13" ht="12.75" customHeight="1" x14ac:dyDescent="0.2">
      <c r="C63380"/>
      <c r="M63380"/>
    </row>
    <row r="63381" spans="3:13" ht="12.75" customHeight="1" x14ac:dyDescent="0.2">
      <c r="C63381"/>
      <c r="M63381"/>
    </row>
    <row r="63382" spans="3:13" ht="12.75" customHeight="1" x14ac:dyDescent="0.2">
      <c r="C63382"/>
      <c r="M63382"/>
    </row>
    <row r="63383" spans="3:13" ht="12.75" customHeight="1" x14ac:dyDescent="0.2">
      <c r="C63383"/>
      <c r="M63383"/>
    </row>
    <row r="63384" spans="3:13" ht="12.75" customHeight="1" x14ac:dyDescent="0.2">
      <c r="C63384"/>
      <c r="M63384"/>
    </row>
    <row r="63385" spans="3:13" ht="12.75" customHeight="1" x14ac:dyDescent="0.2">
      <c r="C63385"/>
      <c r="M63385"/>
    </row>
    <row r="63386" spans="3:13" ht="12.75" customHeight="1" x14ac:dyDescent="0.2">
      <c r="C63386"/>
      <c r="M63386"/>
    </row>
    <row r="63387" spans="3:13" ht="12.75" customHeight="1" x14ac:dyDescent="0.2">
      <c r="C63387"/>
      <c r="M63387"/>
    </row>
    <row r="63388" spans="3:13" ht="12.75" customHeight="1" x14ac:dyDescent="0.2">
      <c r="C63388"/>
      <c r="M63388"/>
    </row>
    <row r="63389" spans="3:13" ht="12.75" customHeight="1" x14ac:dyDescent="0.2">
      <c r="C63389"/>
      <c r="M63389"/>
    </row>
    <row r="63390" spans="3:13" ht="12.75" customHeight="1" x14ac:dyDescent="0.2">
      <c r="C63390"/>
      <c r="M63390"/>
    </row>
    <row r="63391" spans="3:13" ht="12.75" customHeight="1" x14ac:dyDescent="0.2">
      <c r="C63391"/>
      <c r="M63391"/>
    </row>
    <row r="63392" spans="3:13" ht="12.75" customHeight="1" x14ac:dyDescent="0.2">
      <c r="C63392"/>
      <c r="M63392"/>
    </row>
    <row r="63393" spans="3:13" ht="12.75" customHeight="1" x14ac:dyDescent="0.2">
      <c r="C63393"/>
      <c r="M63393"/>
    </row>
    <row r="63394" spans="3:13" ht="12.75" customHeight="1" x14ac:dyDescent="0.2">
      <c r="C63394"/>
      <c r="M63394"/>
    </row>
    <row r="63395" spans="3:13" ht="12.75" customHeight="1" x14ac:dyDescent="0.2">
      <c r="C63395"/>
      <c r="M63395"/>
    </row>
    <row r="63396" spans="3:13" ht="12.75" customHeight="1" x14ac:dyDescent="0.2">
      <c r="C63396"/>
      <c r="M63396"/>
    </row>
    <row r="63397" spans="3:13" ht="12.75" customHeight="1" x14ac:dyDescent="0.2">
      <c r="C63397"/>
      <c r="M63397"/>
    </row>
    <row r="63398" spans="3:13" ht="12.75" customHeight="1" x14ac:dyDescent="0.2">
      <c r="C63398"/>
      <c r="M63398"/>
    </row>
    <row r="63399" spans="3:13" ht="12.75" customHeight="1" x14ac:dyDescent="0.2">
      <c r="C63399"/>
      <c r="M63399"/>
    </row>
    <row r="63400" spans="3:13" ht="12.75" customHeight="1" x14ac:dyDescent="0.2">
      <c r="C63400"/>
      <c r="M63400"/>
    </row>
    <row r="63401" spans="3:13" ht="12.75" customHeight="1" x14ac:dyDescent="0.2">
      <c r="C63401"/>
      <c r="M63401"/>
    </row>
    <row r="63402" spans="3:13" ht="12.75" customHeight="1" x14ac:dyDescent="0.2">
      <c r="C63402"/>
      <c r="M63402"/>
    </row>
    <row r="63403" spans="3:13" ht="12.75" customHeight="1" x14ac:dyDescent="0.2">
      <c r="C63403"/>
      <c r="M63403"/>
    </row>
    <row r="63404" spans="3:13" ht="12.75" customHeight="1" x14ac:dyDescent="0.2">
      <c r="C63404"/>
      <c r="M63404"/>
    </row>
    <row r="63405" spans="3:13" ht="12.75" customHeight="1" x14ac:dyDescent="0.2">
      <c r="C63405"/>
      <c r="M63405"/>
    </row>
    <row r="63406" spans="3:13" ht="12.75" customHeight="1" x14ac:dyDescent="0.2">
      <c r="C63406"/>
      <c r="M63406"/>
    </row>
    <row r="63407" spans="3:13" ht="12.75" customHeight="1" x14ac:dyDescent="0.2">
      <c r="C63407"/>
      <c r="M63407"/>
    </row>
    <row r="63408" spans="3:13" ht="12.75" customHeight="1" x14ac:dyDescent="0.2">
      <c r="C63408"/>
      <c r="M63408"/>
    </row>
    <row r="63409" spans="3:13" ht="12.75" customHeight="1" x14ac:dyDescent="0.2">
      <c r="C63409"/>
      <c r="M63409"/>
    </row>
    <row r="63410" spans="3:13" ht="12.75" customHeight="1" x14ac:dyDescent="0.2">
      <c r="C63410"/>
      <c r="M63410"/>
    </row>
    <row r="63411" spans="3:13" ht="12.75" customHeight="1" x14ac:dyDescent="0.2">
      <c r="C63411"/>
      <c r="M63411"/>
    </row>
    <row r="63412" spans="3:13" ht="12.75" customHeight="1" x14ac:dyDescent="0.2">
      <c r="C63412"/>
      <c r="M63412"/>
    </row>
    <row r="63413" spans="3:13" ht="12.75" customHeight="1" x14ac:dyDescent="0.2">
      <c r="C63413"/>
      <c r="M63413"/>
    </row>
    <row r="63414" spans="3:13" ht="12.75" customHeight="1" x14ac:dyDescent="0.2">
      <c r="C63414"/>
      <c r="M63414"/>
    </row>
    <row r="63415" spans="3:13" ht="12.75" customHeight="1" x14ac:dyDescent="0.2">
      <c r="C63415"/>
      <c r="M63415"/>
    </row>
    <row r="63416" spans="3:13" ht="12.75" customHeight="1" x14ac:dyDescent="0.2">
      <c r="C63416"/>
      <c r="M63416"/>
    </row>
    <row r="63417" spans="3:13" ht="12.75" customHeight="1" x14ac:dyDescent="0.2">
      <c r="C63417"/>
      <c r="M63417"/>
    </row>
    <row r="63418" spans="3:13" ht="12.75" customHeight="1" x14ac:dyDescent="0.2">
      <c r="C63418"/>
      <c r="M63418"/>
    </row>
    <row r="63419" spans="3:13" ht="12.75" customHeight="1" x14ac:dyDescent="0.2">
      <c r="C63419"/>
      <c r="M63419"/>
    </row>
    <row r="63420" spans="3:13" ht="12.75" customHeight="1" x14ac:dyDescent="0.2">
      <c r="C63420"/>
      <c r="M63420"/>
    </row>
    <row r="63421" spans="3:13" ht="12.75" customHeight="1" x14ac:dyDescent="0.2">
      <c r="C63421"/>
      <c r="M63421"/>
    </row>
    <row r="63422" spans="3:13" ht="12.75" customHeight="1" x14ac:dyDescent="0.2">
      <c r="C63422"/>
      <c r="M63422"/>
    </row>
    <row r="63423" spans="3:13" ht="12.75" customHeight="1" x14ac:dyDescent="0.2">
      <c r="C63423"/>
      <c r="M63423"/>
    </row>
    <row r="63424" spans="3:13" ht="12.75" customHeight="1" x14ac:dyDescent="0.2">
      <c r="C63424"/>
      <c r="M63424"/>
    </row>
    <row r="63425" spans="3:13" ht="12.75" customHeight="1" x14ac:dyDescent="0.2">
      <c r="C63425"/>
      <c r="M63425"/>
    </row>
    <row r="63426" spans="3:13" ht="12.75" customHeight="1" x14ac:dyDescent="0.2">
      <c r="C63426"/>
      <c r="M63426"/>
    </row>
    <row r="63427" spans="3:13" ht="12.75" customHeight="1" x14ac:dyDescent="0.2">
      <c r="C63427"/>
      <c r="M63427"/>
    </row>
    <row r="63428" spans="3:13" ht="12.75" customHeight="1" x14ac:dyDescent="0.2">
      <c r="C63428"/>
      <c r="M63428"/>
    </row>
    <row r="63429" spans="3:13" ht="12.75" customHeight="1" x14ac:dyDescent="0.2">
      <c r="C63429"/>
      <c r="M63429"/>
    </row>
    <row r="63430" spans="3:13" ht="12.75" customHeight="1" x14ac:dyDescent="0.2">
      <c r="C63430"/>
      <c r="M63430"/>
    </row>
    <row r="63431" spans="3:13" ht="12.75" customHeight="1" x14ac:dyDescent="0.2">
      <c r="C63431"/>
      <c r="M63431"/>
    </row>
    <row r="63432" spans="3:13" ht="12.75" customHeight="1" x14ac:dyDescent="0.2">
      <c r="C63432"/>
      <c r="M63432"/>
    </row>
    <row r="63433" spans="3:13" ht="12.75" customHeight="1" x14ac:dyDescent="0.2">
      <c r="C63433"/>
      <c r="M63433"/>
    </row>
    <row r="63434" spans="3:13" ht="12.75" customHeight="1" x14ac:dyDescent="0.2">
      <c r="C63434"/>
      <c r="M63434"/>
    </row>
    <row r="63435" spans="3:13" ht="12.75" customHeight="1" x14ac:dyDescent="0.2">
      <c r="C63435"/>
      <c r="M63435"/>
    </row>
    <row r="63436" spans="3:13" ht="12.75" customHeight="1" x14ac:dyDescent="0.2">
      <c r="C63436"/>
      <c r="M63436"/>
    </row>
    <row r="63437" spans="3:13" ht="12.75" customHeight="1" x14ac:dyDescent="0.2">
      <c r="C63437"/>
      <c r="M63437"/>
    </row>
    <row r="63438" spans="3:13" ht="12.75" customHeight="1" x14ac:dyDescent="0.2">
      <c r="C63438"/>
      <c r="M63438"/>
    </row>
    <row r="63439" spans="3:13" ht="12.75" customHeight="1" x14ac:dyDescent="0.2">
      <c r="C63439"/>
      <c r="M63439"/>
    </row>
    <row r="63440" spans="3:13" ht="12.75" customHeight="1" x14ac:dyDescent="0.2">
      <c r="C63440"/>
      <c r="M63440"/>
    </row>
    <row r="63441" spans="3:13" ht="12.75" customHeight="1" x14ac:dyDescent="0.2">
      <c r="C63441"/>
      <c r="M63441"/>
    </row>
    <row r="63442" spans="3:13" ht="12.75" customHeight="1" x14ac:dyDescent="0.2">
      <c r="C63442"/>
      <c r="M63442"/>
    </row>
    <row r="63443" spans="3:13" ht="12.75" customHeight="1" x14ac:dyDescent="0.2">
      <c r="C63443"/>
      <c r="M63443"/>
    </row>
    <row r="63444" spans="3:13" ht="12.75" customHeight="1" x14ac:dyDescent="0.2">
      <c r="C63444"/>
      <c r="M63444"/>
    </row>
    <row r="63445" spans="3:13" ht="12.75" customHeight="1" x14ac:dyDescent="0.2">
      <c r="C63445"/>
      <c r="M63445"/>
    </row>
    <row r="63446" spans="3:13" ht="12.75" customHeight="1" x14ac:dyDescent="0.2">
      <c r="C63446"/>
      <c r="M63446"/>
    </row>
    <row r="63447" spans="3:13" ht="12.75" customHeight="1" x14ac:dyDescent="0.2">
      <c r="C63447"/>
      <c r="M63447"/>
    </row>
    <row r="63448" spans="3:13" ht="12.75" customHeight="1" x14ac:dyDescent="0.2">
      <c r="C63448"/>
      <c r="M63448"/>
    </row>
    <row r="63449" spans="3:13" ht="12.75" customHeight="1" x14ac:dyDescent="0.2">
      <c r="C63449"/>
      <c r="M63449"/>
    </row>
    <row r="63450" spans="3:13" ht="12.75" customHeight="1" x14ac:dyDescent="0.2">
      <c r="C63450"/>
      <c r="M63450"/>
    </row>
    <row r="63451" spans="3:13" ht="12.75" customHeight="1" x14ac:dyDescent="0.2">
      <c r="C63451"/>
      <c r="M63451"/>
    </row>
    <row r="63452" spans="3:13" ht="12.75" customHeight="1" x14ac:dyDescent="0.2">
      <c r="C63452"/>
      <c r="M63452"/>
    </row>
    <row r="63453" spans="3:13" ht="12.75" customHeight="1" x14ac:dyDescent="0.2">
      <c r="C63453"/>
      <c r="M63453"/>
    </row>
    <row r="63454" spans="3:13" ht="12.75" customHeight="1" x14ac:dyDescent="0.2">
      <c r="C63454"/>
      <c r="M63454"/>
    </row>
    <row r="63455" spans="3:13" ht="12.75" customHeight="1" x14ac:dyDescent="0.2">
      <c r="C63455"/>
      <c r="M63455"/>
    </row>
    <row r="63456" spans="3:13" ht="12.75" customHeight="1" x14ac:dyDescent="0.2">
      <c r="C63456"/>
      <c r="M63456"/>
    </row>
    <row r="63457" spans="3:13" ht="12.75" customHeight="1" x14ac:dyDescent="0.2">
      <c r="C63457"/>
      <c r="M63457"/>
    </row>
    <row r="63458" spans="3:13" ht="12.75" customHeight="1" x14ac:dyDescent="0.2">
      <c r="C63458"/>
      <c r="M63458"/>
    </row>
    <row r="63459" spans="3:13" ht="12.75" customHeight="1" x14ac:dyDescent="0.2">
      <c r="C63459"/>
      <c r="M63459"/>
    </row>
    <row r="63460" spans="3:13" ht="12.75" customHeight="1" x14ac:dyDescent="0.2">
      <c r="C63460"/>
      <c r="M63460"/>
    </row>
    <row r="63461" spans="3:13" ht="12.75" customHeight="1" x14ac:dyDescent="0.2">
      <c r="C63461"/>
      <c r="M63461"/>
    </row>
    <row r="63462" spans="3:13" ht="12.75" customHeight="1" x14ac:dyDescent="0.2">
      <c r="C63462"/>
      <c r="M63462"/>
    </row>
    <row r="63463" spans="3:13" ht="12.75" customHeight="1" x14ac:dyDescent="0.2">
      <c r="C63463"/>
      <c r="M63463"/>
    </row>
    <row r="63464" spans="3:13" ht="12.75" customHeight="1" x14ac:dyDescent="0.2">
      <c r="C63464"/>
      <c r="M63464"/>
    </row>
    <row r="63465" spans="3:13" ht="12.75" customHeight="1" x14ac:dyDescent="0.2">
      <c r="C63465"/>
      <c r="M63465"/>
    </row>
    <row r="63466" spans="3:13" ht="12.75" customHeight="1" x14ac:dyDescent="0.2">
      <c r="C63466"/>
      <c r="M63466"/>
    </row>
    <row r="63467" spans="3:13" ht="12.75" customHeight="1" x14ac:dyDescent="0.2">
      <c r="C63467"/>
      <c r="M63467"/>
    </row>
    <row r="63468" spans="3:13" ht="12.75" customHeight="1" x14ac:dyDescent="0.2">
      <c r="C63468"/>
      <c r="M63468"/>
    </row>
    <row r="63469" spans="3:13" ht="12.75" customHeight="1" x14ac:dyDescent="0.2">
      <c r="C63469"/>
      <c r="M63469"/>
    </row>
    <row r="63470" spans="3:13" ht="12.75" customHeight="1" x14ac:dyDescent="0.2">
      <c r="C63470"/>
      <c r="M63470"/>
    </row>
    <row r="63471" spans="3:13" ht="12.75" customHeight="1" x14ac:dyDescent="0.2">
      <c r="C63471"/>
      <c r="M63471"/>
    </row>
    <row r="63472" spans="3:13" ht="12.75" customHeight="1" x14ac:dyDescent="0.2">
      <c r="C63472"/>
      <c r="M63472"/>
    </row>
    <row r="63473" spans="3:13" ht="12.75" customHeight="1" x14ac:dyDescent="0.2">
      <c r="C63473"/>
      <c r="M63473"/>
    </row>
    <row r="63474" spans="3:13" ht="12.75" customHeight="1" x14ac:dyDescent="0.2">
      <c r="C63474"/>
      <c r="M63474"/>
    </row>
    <row r="63475" spans="3:13" ht="12.75" customHeight="1" x14ac:dyDescent="0.2">
      <c r="C63475"/>
      <c r="M63475"/>
    </row>
    <row r="63476" spans="3:13" ht="12.75" customHeight="1" x14ac:dyDescent="0.2">
      <c r="C63476"/>
      <c r="M63476"/>
    </row>
    <row r="63477" spans="3:13" ht="12.75" customHeight="1" x14ac:dyDescent="0.2">
      <c r="C63477"/>
      <c r="M63477"/>
    </row>
    <row r="63478" spans="3:13" ht="12.75" customHeight="1" x14ac:dyDescent="0.2">
      <c r="C63478"/>
      <c r="M63478"/>
    </row>
    <row r="63479" spans="3:13" ht="12.75" customHeight="1" x14ac:dyDescent="0.2">
      <c r="C63479"/>
      <c r="M63479"/>
    </row>
    <row r="63480" spans="3:13" ht="12.75" customHeight="1" x14ac:dyDescent="0.2">
      <c r="C63480"/>
      <c r="M63480"/>
    </row>
    <row r="63481" spans="3:13" ht="12.75" customHeight="1" x14ac:dyDescent="0.2">
      <c r="C63481"/>
      <c r="M63481"/>
    </row>
    <row r="63482" spans="3:13" ht="12.75" customHeight="1" x14ac:dyDescent="0.2">
      <c r="C63482"/>
      <c r="M63482"/>
    </row>
    <row r="63483" spans="3:13" ht="12.75" customHeight="1" x14ac:dyDescent="0.2">
      <c r="C63483"/>
      <c r="M63483"/>
    </row>
    <row r="63484" spans="3:13" ht="12.75" customHeight="1" x14ac:dyDescent="0.2">
      <c r="C63484"/>
      <c r="M63484"/>
    </row>
    <row r="63485" spans="3:13" ht="12.75" customHeight="1" x14ac:dyDescent="0.2">
      <c r="C63485"/>
      <c r="M63485"/>
    </row>
    <row r="63486" spans="3:13" ht="12.75" customHeight="1" x14ac:dyDescent="0.2">
      <c r="C63486"/>
      <c r="M63486"/>
    </row>
    <row r="63487" spans="3:13" ht="12.75" customHeight="1" x14ac:dyDescent="0.2">
      <c r="C63487"/>
      <c r="M63487"/>
    </row>
    <row r="63488" spans="3:13" ht="12.75" customHeight="1" x14ac:dyDescent="0.2">
      <c r="C63488"/>
      <c r="M63488"/>
    </row>
    <row r="63489" spans="3:13" ht="12.75" customHeight="1" x14ac:dyDescent="0.2">
      <c r="C63489"/>
      <c r="M63489"/>
    </row>
    <row r="63490" spans="3:13" ht="12.75" customHeight="1" x14ac:dyDescent="0.2">
      <c r="C63490"/>
      <c r="M63490"/>
    </row>
    <row r="63491" spans="3:13" ht="12.75" customHeight="1" x14ac:dyDescent="0.2">
      <c r="C63491"/>
      <c r="M63491"/>
    </row>
    <row r="63492" spans="3:13" ht="12.75" customHeight="1" x14ac:dyDescent="0.2">
      <c r="C63492"/>
      <c r="M63492"/>
    </row>
    <row r="63493" spans="3:13" ht="12.75" customHeight="1" x14ac:dyDescent="0.2">
      <c r="C63493"/>
      <c r="M63493"/>
    </row>
    <row r="63494" spans="3:13" ht="12.75" customHeight="1" x14ac:dyDescent="0.2">
      <c r="C63494"/>
      <c r="M63494"/>
    </row>
    <row r="63495" spans="3:13" ht="12.75" customHeight="1" x14ac:dyDescent="0.2">
      <c r="C63495"/>
      <c r="M63495"/>
    </row>
    <row r="63496" spans="3:13" ht="12.75" customHeight="1" x14ac:dyDescent="0.2">
      <c r="C63496"/>
      <c r="M63496"/>
    </row>
    <row r="63497" spans="3:13" ht="12.75" customHeight="1" x14ac:dyDescent="0.2">
      <c r="C63497"/>
      <c r="M63497"/>
    </row>
    <row r="63498" spans="3:13" ht="12.75" customHeight="1" x14ac:dyDescent="0.2">
      <c r="C63498"/>
      <c r="M63498"/>
    </row>
    <row r="63499" spans="3:13" ht="12.75" customHeight="1" x14ac:dyDescent="0.2">
      <c r="C63499"/>
      <c r="M63499"/>
    </row>
    <row r="63500" spans="3:13" ht="12.75" customHeight="1" x14ac:dyDescent="0.2">
      <c r="C63500"/>
      <c r="M63500"/>
    </row>
    <row r="63501" spans="3:13" ht="12.75" customHeight="1" x14ac:dyDescent="0.2">
      <c r="C63501"/>
      <c r="M63501"/>
    </row>
    <row r="63502" spans="3:13" ht="12.75" customHeight="1" x14ac:dyDescent="0.2">
      <c r="C63502"/>
      <c r="M63502"/>
    </row>
    <row r="63503" spans="3:13" ht="12.75" customHeight="1" x14ac:dyDescent="0.2">
      <c r="C63503"/>
      <c r="M63503"/>
    </row>
    <row r="63504" spans="3:13" ht="12.75" customHeight="1" x14ac:dyDescent="0.2">
      <c r="C63504"/>
      <c r="M63504"/>
    </row>
    <row r="63505" spans="3:13" ht="12.75" customHeight="1" x14ac:dyDescent="0.2">
      <c r="C63505"/>
      <c r="M63505"/>
    </row>
    <row r="63506" spans="3:13" ht="12.75" customHeight="1" x14ac:dyDescent="0.2">
      <c r="C63506"/>
      <c r="M63506"/>
    </row>
    <row r="63507" spans="3:13" ht="12.75" customHeight="1" x14ac:dyDescent="0.2">
      <c r="C63507"/>
      <c r="M63507"/>
    </row>
    <row r="63508" spans="3:13" ht="12.75" customHeight="1" x14ac:dyDescent="0.2">
      <c r="C63508"/>
      <c r="M63508"/>
    </row>
    <row r="63509" spans="3:13" ht="12.75" customHeight="1" x14ac:dyDescent="0.2">
      <c r="C63509"/>
      <c r="M63509"/>
    </row>
    <row r="63510" spans="3:13" ht="12.75" customHeight="1" x14ac:dyDescent="0.2">
      <c r="C63510"/>
      <c r="M63510"/>
    </row>
    <row r="63511" spans="3:13" ht="12.75" customHeight="1" x14ac:dyDescent="0.2">
      <c r="C63511"/>
      <c r="M63511"/>
    </row>
    <row r="63512" spans="3:13" ht="12.75" customHeight="1" x14ac:dyDescent="0.2">
      <c r="C63512"/>
      <c r="M63512"/>
    </row>
    <row r="63513" spans="3:13" ht="12.75" customHeight="1" x14ac:dyDescent="0.2">
      <c r="C63513"/>
      <c r="M63513"/>
    </row>
    <row r="63514" spans="3:13" ht="12.75" customHeight="1" x14ac:dyDescent="0.2">
      <c r="C63514"/>
      <c r="M63514"/>
    </row>
    <row r="63515" spans="3:13" ht="12.75" customHeight="1" x14ac:dyDescent="0.2">
      <c r="C63515"/>
      <c r="M63515"/>
    </row>
    <row r="63516" spans="3:13" ht="12.75" customHeight="1" x14ac:dyDescent="0.2">
      <c r="C63516"/>
      <c r="M63516"/>
    </row>
    <row r="63517" spans="3:13" ht="12.75" customHeight="1" x14ac:dyDescent="0.2">
      <c r="C63517"/>
      <c r="M63517"/>
    </row>
    <row r="63518" spans="3:13" ht="12.75" customHeight="1" x14ac:dyDescent="0.2">
      <c r="C63518"/>
      <c r="M63518"/>
    </row>
    <row r="63519" spans="3:13" ht="12.75" customHeight="1" x14ac:dyDescent="0.2">
      <c r="C63519"/>
      <c r="M63519"/>
    </row>
    <row r="63520" spans="3:13" ht="12.75" customHeight="1" x14ac:dyDescent="0.2">
      <c r="C63520"/>
      <c r="M63520"/>
    </row>
    <row r="63521" spans="3:13" ht="12.75" customHeight="1" x14ac:dyDescent="0.2">
      <c r="C63521"/>
      <c r="M63521"/>
    </row>
    <row r="63522" spans="3:13" ht="12.75" customHeight="1" x14ac:dyDescent="0.2">
      <c r="C63522"/>
      <c r="M63522"/>
    </row>
    <row r="63523" spans="3:13" ht="12.75" customHeight="1" x14ac:dyDescent="0.2">
      <c r="C63523"/>
      <c r="M63523"/>
    </row>
    <row r="63524" spans="3:13" ht="12.75" customHeight="1" x14ac:dyDescent="0.2">
      <c r="C63524"/>
      <c r="M63524"/>
    </row>
    <row r="63525" spans="3:13" ht="12.75" customHeight="1" x14ac:dyDescent="0.2">
      <c r="C63525"/>
      <c r="M63525"/>
    </row>
    <row r="63526" spans="3:13" ht="12.75" customHeight="1" x14ac:dyDescent="0.2">
      <c r="C63526"/>
      <c r="M63526"/>
    </row>
    <row r="63527" spans="3:13" ht="12.75" customHeight="1" x14ac:dyDescent="0.2">
      <c r="C63527"/>
      <c r="M63527"/>
    </row>
    <row r="63528" spans="3:13" ht="12.75" customHeight="1" x14ac:dyDescent="0.2">
      <c r="C63528"/>
      <c r="M63528"/>
    </row>
    <row r="63529" spans="3:13" ht="12.75" customHeight="1" x14ac:dyDescent="0.2">
      <c r="C63529"/>
      <c r="M63529"/>
    </row>
    <row r="63530" spans="3:13" ht="12.75" customHeight="1" x14ac:dyDescent="0.2">
      <c r="C63530"/>
      <c r="M63530"/>
    </row>
    <row r="63531" spans="3:13" ht="12.75" customHeight="1" x14ac:dyDescent="0.2">
      <c r="C63531"/>
      <c r="M63531"/>
    </row>
    <row r="63532" spans="3:13" ht="12.75" customHeight="1" x14ac:dyDescent="0.2">
      <c r="C63532"/>
      <c r="M63532"/>
    </row>
    <row r="63533" spans="3:13" ht="12.75" customHeight="1" x14ac:dyDescent="0.2">
      <c r="C63533"/>
      <c r="M63533"/>
    </row>
    <row r="63534" spans="3:13" ht="12.75" customHeight="1" x14ac:dyDescent="0.2">
      <c r="C63534"/>
      <c r="M63534"/>
    </row>
    <row r="63535" spans="3:13" ht="12.75" customHeight="1" x14ac:dyDescent="0.2">
      <c r="C63535"/>
      <c r="M63535"/>
    </row>
    <row r="63536" spans="3:13" ht="12.75" customHeight="1" x14ac:dyDescent="0.2">
      <c r="C63536"/>
      <c r="M63536"/>
    </row>
    <row r="63537" spans="3:13" ht="12.75" customHeight="1" x14ac:dyDescent="0.2">
      <c r="C63537"/>
      <c r="M63537"/>
    </row>
    <row r="63538" spans="3:13" ht="12.75" customHeight="1" x14ac:dyDescent="0.2">
      <c r="C63538"/>
      <c r="M63538"/>
    </row>
    <row r="63539" spans="3:13" ht="12.75" customHeight="1" x14ac:dyDescent="0.2">
      <c r="C63539"/>
      <c r="M63539"/>
    </row>
    <row r="63540" spans="3:13" ht="12.75" customHeight="1" x14ac:dyDescent="0.2">
      <c r="C63540"/>
      <c r="M63540"/>
    </row>
    <row r="63541" spans="3:13" ht="12.75" customHeight="1" x14ac:dyDescent="0.2">
      <c r="C63541"/>
      <c r="M63541"/>
    </row>
    <row r="63542" spans="3:13" ht="12.75" customHeight="1" x14ac:dyDescent="0.2">
      <c r="C63542"/>
      <c r="M63542"/>
    </row>
    <row r="63543" spans="3:13" ht="12.75" customHeight="1" x14ac:dyDescent="0.2">
      <c r="C63543"/>
      <c r="M63543"/>
    </row>
    <row r="63544" spans="3:13" ht="12.75" customHeight="1" x14ac:dyDescent="0.2">
      <c r="C63544"/>
      <c r="M63544"/>
    </row>
    <row r="63545" spans="3:13" ht="12.75" customHeight="1" x14ac:dyDescent="0.2">
      <c r="C63545"/>
      <c r="M63545"/>
    </row>
    <row r="63546" spans="3:13" ht="12.75" customHeight="1" x14ac:dyDescent="0.2">
      <c r="C63546"/>
      <c r="M63546"/>
    </row>
    <row r="63547" spans="3:13" ht="12.75" customHeight="1" x14ac:dyDescent="0.2">
      <c r="C63547"/>
      <c r="M63547"/>
    </row>
    <row r="63548" spans="3:13" ht="12.75" customHeight="1" x14ac:dyDescent="0.2">
      <c r="C63548"/>
      <c r="M63548"/>
    </row>
    <row r="63549" spans="3:13" ht="12.75" customHeight="1" x14ac:dyDescent="0.2">
      <c r="C63549"/>
      <c r="M63549"/>
    </row>
    <row r="63550" spans="3:13" ht="12.75" customHeight="1" x14ac:dyDescent="0.2">
      <c r="C63550"/>
      <c r="M63550"/>
    </row>
    <row r="63551" spans="3:13" ht="12.75" customHeight="1" x14ac:dyDescent="0.2">
      <c r="C63551"/>
      <c r="M63551"/>
    </row>
    <row r="63552" spans="3:13" ht="12.75" customHeight="1" x14ac:dyDescent="0.2">
      <c r="C63552"/>
      <c r="M63552"/>
    </row>
    <row r="63553" spans="3:13" ht="12.75" customHeight="1" x14ac:dyDescent="0.2">
      <c r="C63553"/>
      <c r="M63553"/>
    </row>
    <row r="63554" spans="3:13" ht="12.75" customHeight="1" x14ac:dyDescent="0.2">
      <c r="C63554"/>
      <c r="M63554"/>
    </row>
    <row r="63555" spans="3:13" ht="12.75" customHeight="1" x14ac:dyDescent="0.2">
      <c r="C63555"/>
      <c r="M63555"/>
    </row>
    <row r="63556" spans="3:13" ht="12.75" customHeight="1" x14ac:dyDescent="0.2">
      <c r="C63556"/>
      <c r="M63556"/>
    </row>
    <row r="63557" spans="3:13" ht="12.75" customHeight="1" x14ac:dyDescent="0.2">
      <c r="C63557"/>
      <c r="M63557"/>
    </row>
    <row r="63558" spans="3:13" ht="12.75" customHeight="1" x14ac:dyDescent="0.2">
      <c r="C63558"/>
      <c r="M63558"/>
    </row>
    <row r="63559" spans="3:13" ht="12.75" customHeight="1" x14ac:dyDescent="0.2">
      <c r="C63559"/>
      <c r="M63559"/>
    </row>
    <row r="63560" spans="3:13" ht="12.75" customHeight="1" x14ac:dyDescent="0.2">
      <c r="C63560"/>
      <c r="M63560"/>
    </row>
    <row r="63561" spans="3:13" ht="12.75" customHeight="1" x14ac:dyDescent="0.2">
      <c r="C63561"/>
      <c r="M63561"/>
    </row>
    <row r="63562" spans="3:13" ht="12.75" customHeight="1" x14ac:dyDescent="0.2">
      <c r="C63562"/>
      <c r="M63562"/>
    </row>
    <row r="63563" spans="3:13" ht="12.75" customHeight="1" x14ac:dyDescent="0.2">
      <c r="C63563"/>
      <c r="M63563"/>
    </row>
    <row r="63564" spans="3:13" ht="12.75" customHeight="1" x14ac:dyDescent="0.2">
      <c r="C63564"/>
      <c r="M63564"/>
    </row>
    <row r="63565" spans="3:13" ht="12.75" customHeight="1" x14ac:dyDescent="0.2">
      <c r="C63565"/>
      <c r="M63565"/>
    </row>
    <row r="63566" spans="3:13" ht="12.75" customHeight="1" x14ac:dyDescent="0.2">
      <c r="C63566"/>
      <c r="M63566"/>
    </row>
    <row r="63567" spans="3:13" ht="12.75" customHeight="1" x14ac:dyDescent="0.2">
      <c r="C63567"/>
      <c r="M63567"/>
    </row>
    <row r="63568" spans="3:13" ht="12.75" customHeight="1" x14ac:dyDescent="0.2">
      <c r="C63568"/>
      <c r="M63568"/>
    </row>
    <row r="63569" spans="3:13" ht="12.75" customHeight="1" x14ac:dyDescent="0.2">
      <c r="C63569"/>
      <c r="M63569"/>
    </row>
    <row r="63570" spans="3:13" ht="12.75" customHeight="1" x14ac:dyDescent="0.2">
      <c r="C63570"/>
      <c r="M63570"/>
    </row>
    <row r="63571" spans="3:13" ht="12.75" customHeight="1" x14ac:dyDescent="0.2">
      <c r="C63571"/>
      <c r="M63571"/>
    </row>
    <row r="63572" spans="3:13" ht="12.75" customHeight="1" x14ac:dyDescent="0.2">
      <c r="C63572"/>
      <c r="M63572"/>
    </row>
    <row r="63573" spans="3:13" ht="12.75" customHeight="1" x14ac:dyDescent="0.2">
      <c r="C63573"/>
      <c r="M63573"/>
    </row>
    <row r="63574" spans="3:13" ht="12.75" customHeight="1" x14ac:dyDescent="0.2">
      <c r="C63574"/>
      <c r="M63574"/>
    </row>
    <row r="63575" spans="3:13" ht="12.75" customHeight="1" x14ac:dyDescent="0.2">
      <c r="C63575"/>
      <c r="M63575"/>
    </row>
    <row r="63576" spans="3:13" ht="12.75" customHeight="1" x14ac:dyDescent="0.2">
      <c r="C63576"/>
      <c r="M63576"/>
    </row>
    <row r="63577" spans="3:13" ht="12.75" customHeight="1" x14ac:dyDescent="0.2">
      <c r="C63577"/>
      <c r="M63577"/>
    </row>
    <row r="63578" spans="3:13" ht="12.75" customHeight="1" x14ac:dyDescent="0.2">
      <c r="C63578"/>
      <c r="M63578"/>
    </row>
    <row r="63579" spans="3:13" ht="12.75" customHeight="1" x14ac:dyDescent="0.2">
      <c r="C63579"/>
      <c r="M63579"/>
    </row>
    <row r="63580" spans="3:13" ht="12.75" customHeight="1" x14ac:dyDescent="0.2">
      <c r="C63580"/>
      <c r="M63580"/>
    </row>
    <row r="63581" spans="3:13" ht="12.75" customHeight="1" x14ac:dyDescent="0.2">
      <c r="C63581"/>
      <c r="M63581"/>
    </row>
    <row r="63582" spans="3:13" ht="12.75" customHeight="1" x14ac:dyDescent="0.2">
      <c r="C63582"/>
      <c r="M63582"/>
    </row>
    <row r="63583" spans="3:13" ht="12.75" customHeight="1" x14ac:dyDescent="0.2">
      <c r="C63583"/>
      <c r="M63583"/>
    </row>
    <row r="63584" spans="3:13" ht="12.75" customHeight="1" x14ac:dyDescent="0.2">
      <c r="C63584"/>
      <c r="M63584"/>
    </row>
    <row r="63585" spans="3:13" ht="12.75" customHeight="1" x14ac:dyDescent="0.2">
      <c r="C63585"/>
      <c r="M63585"/>
    </row>
    <row r="63586" spans="3:13" ht="12.75" customHeight="1" x14ac:dyDescent="0.2">
      <c r="C63586"/>
      <c r="M63586"/>
    </row>
    <row r="63587" spans="3:13" ht="12.75" customHeight="1" x14ac:dyDescent="0.2">
      <c r="C63587"/>
      <c r="M63587"/>
    </row>
    <row r="63588" spans="3:13" ht="12.75" customHeight="1" x14ac:dyDescent="0.2">
      <c r="C63588"/>
      <c r="M63588"/>
    </row>
    <row r="63589" spans="3:13" ht="12.75" customHeight="1" x14ac:dyDescent="0.2">
      <c r="C63589"/>
      <c r="M63589"/>
    </row>
    <row r="63590" spans="3:13" ht="12.75" customHeight="1" x14ac:dyDescent="0.2">
      <c r="C63590"/>
      <c r="M63590"/>
    </row>
    <row r="63591" spans="3:13" ht="12.75" customHeight="1" x14ac:dyDescent="0.2">
      <c r="C63591"/>
      <c r="M63591"/>
    </row>
    <row r="63592" spans="3:13" ht="12.75" customHeight="1" x14ac:dyDescent="0.2">
      <c r="C63592"/>
      <c r="M63592"/>
    </row>
    <row r="63593" spans="3:13" ht="12.75" customHeight="1" x14ac:dyDescent="0.2">
      <c r="C63593"/>
      <c r="M63593"/>
    </row>
    <row r="63594" spans="3:13" ht="12.75" customHeight="1" x14ac:dyDescent="0.2">
      <c r="C63594"/>
      <c r="M63594"/>
    </row>
    <row r="63595" spans="3:13" ht="12.75" customHeight="1" x14ac:dyDescent="0.2">
      <c r="C63595"/>
      <c r="M63595"/>
    </row>
    <row r="63596" spans="3:13" ht="12.75" customHeight="1" x14ac:dyDescent="0.2">
      <c r="C63596"/>
      <c r="M63596"/>
    </row>
    <row r="63597" spans="3:13" ht="12.75" customHeight="1" x14ac:dyDescent="0.2">
      <c r="C63597"/>
      <c r="M63597"/>
    </row>
    <row r="63598" spans="3:13" ht="12.75" customHeight="1" x14ac:dyDescent="0.2">
      <c r="C63598"/>
      <c r="M63598"/>
    </row>
    <row r="63599" spans="3:13" ht="12.75" customHeight="1" x14ac:dyDescent="0.2">
      <c r="C63599"/>
      <c r="M63599"/>
    </row>
    <row r="63600" spans="3:13" ht="12.75" customHeight="1" x14ac:dyDescent="0.2">
      <c r="C63600"/>
      <c r="M63600"/>
    </row>
    <row r="63601" spans="3:13" ht="12.75" customHeight="1" x14ac:dyDescent="0.2">
      <c r="C63601"/>
      <c r="M63601"/>
    </row>
    <row r="63602" spans="3:13" ht="12.75" customHeight="1" x14ac:dyDescent="0.2">
      <c r="C63602"/>
      <c r="M63602"/>
    </row>
    <row r="63603" spans="3:13" ht="12.75" customHeight="1" x14ac:dyDescent="0.2">
      <c r="C63603"/>
      <c r="M63603"/>
    </row>
    <row r="63604" spans="3:13" ht="12.75" customHeight="1" x14ac:dyDescent="0.2">
      <c r="C63604"/>
      <c r="M63604"/>
    </row>
    <row r="63605" spans="3:13" ht="12.75" customHeight="1" x14ac:dyDescent="0.2">
      <c r="C63605"/>
      <c r="M63605"/>
    </row>
    <row r="63606" spans="3:13" ht="12.75" customHeight="1" x14ac:dyDescent="0.2">
      <c r="C63606"/>
      <c r="M63606"/>
    </row>
    <row r="63607" spans="3:13" ht="12.75" customHeight="1" x14ac:dyDescent="0.2">
      <c r="C63607"/>
      <c r="M63607"/>
    </row>
    <row r="63608" spans="3:13" ht="12.75" customHeight="1" x14ac:dyDescent="0.2">
      <c r="C63608"/>
      <c r="M63608"/>
    </row>
    <row r="63609" spans="3:13" ht="12.75" customHeight="1" x14ac:dyDescent="0.2">
      <c r="C63609"/>
      <c r="M63609"/>
    </row>
    <row r="63610" spans="3:13" ht="12.75" customHeight="1" x14ac:dyDescent="0.2">
      <c r="C63610"/>
      <c r="M63610"/>
    </row>
    <row r="63611" spans="3:13" ht="12.75" customHeight="1" x14ac:dyDescent="0.2">
      <c r="C63611"/>
      <c r="M63611"/>
    </row>
    <row r="63612" spans="3:13" ht="12.75" customHeight="1" x14ac:dyDescent="0.2">
      <c r="C63612"/>
      <c r="M63612"/>
    </row>
    <row r="63613" spans="3:13" ht="12.75" customHeight="1" x14ac:dyDescent="0.2">
      <c r="C63613"/>
      <c r="M63613"/>
    </row>
    <row r="63614" spans="3:13" ht="12.75" customHeight="1" x14ac:dyDescent="0.2">
      <c r="C63614"/>
      <c r="M63614"/>
    </row>
    <row r="63615" spans="3:13" ht="12.75" customHeight="1" x14ac:dyDescent="0.2">
      <c r="C63615"/>
      <c r="M63615"/>
    </row>
    <row r="63616" spans="3:13" ht="12.75" customHeight="1" x14ac:dyDescent="0.2">
      <c r="C63616"/>
      <c r="M63616"/>
    </row>
    <row r="63617" spans="3:13" ht="12.75" customHeight="1" x14ac:dyDescent="0.2">
      <c r="C63617"/>
      <c r="M63617"/>
    </row>
    <row r="63618" spans="3:13" ht="12.75" customHeight="1" x14ac:dyDescent="0.2">
      <c r="C63618"/>
      <c r="M63618"/>
    </row>
    <row r="63619" spans="3:13" ht="12.75" customHeight="1" x14ac:dyDescent="0.2">
      <c r="C63619"/>
      <c r="M63619"/>
    </row>
    <row r="63620" spans="3:13" ht="12.75" customHeight="1" x14ac:dyDescent="0.2">
      <c r="C63620"/>
      <c r="M63620"/>
    </row>
    <row r="63621" spans="3:13" ht="12.75" customHeight="1" x14ac:dyDescent="0.2">
      <c r="C63621"/>
      <c r="M63621"/>
    </row>
    <row r="63622" spans="3:13" ht="12.75" customHeight="1" x14ac:dyDescent="0.2">
      <c r="C63622"/>
      <c r="M63622"/>
    </row>
    <row r="63623" spans="3:13" ht="12.75" customHeight="1" x14ac:dyDescent="0.2">
      <c r="C63623"/>
      <c r="M63623"/>
    </row>
    <row r="63624" spans="3:13" ht="12.75" customHeight="1" x14ac:dyDescent="0.2">
      <c r="C63624"/>
      <c r="M63624"/>
    </row>
    <row r="63625" spans="3:13" ht="12.75" customHeight="1" x14ac:dyDescent="0.2">
      <c r="C63625"/>
      <c r="M63625"/>
    </row>
    <row r="63626" spans="3:13" ht="12.75" customHeight="1" x14ac:dyDescent="0.2">
      <c r="C63626"/>
      <c r="M63626"/>
    </row>
    <row r="63627" spans="3:13" ht="12.75" customHeight="1" x14ac:dyDescent="0.2">
      <c r="C63627"/>
      <c r="M63627"/>
    </row>
    <row r="63628" spans="3:13" ht="12.75" customHeight="1" x14ac:dyDescent="0.2">
      <c r="C63628"/>
      <c r="M63628"/>
    </row>
    <row r="63629" spans="3:13" ht="12.75" customHeight="1" x14ac:dyDescent="0.2">
      <c r="C63629"/>
      <c r="M63629"/>
    </row>
    <row r="63630" spans="3:13" ht="12.75" customHeight="1" x14ac:dyDescent="0.2">
      <c r="C63630"/>
      <c r="M63630"/>
    </row>
    <row r="63631" spans="3:13" ht="12.75" customHeight="1" x14ac:dyDescent="0.2">
      <c r="C63631"/>
      <c r="M63631"/>
    </row>
    <row r="63632" spans="3:13" ht="12.75" customHeight="1" x14ac:dyDescent="0.2">
      <c r="C63632"/>
      <c r="M63632"/>
    </row>
    <row r="63633" spans="3:13" ht="12.75" customHeight="1" x14ac:dyDescent="0.2">
      <c r="C63633"/>
      <c r="M63633"/>
    </row>
    <row r="63634" spans="3:13" ht="12.75" customHeight="1" x14ac:dyDescent="0.2">
      <c r="C63634"/>
      <c r="M63634"/>
    </row>
    <row r="63635" spans="3:13" ht="12.75" customHeight="1" x14ac:dyDescent="0.2">
      <c r="C63635"/>
      <c r="M63635"/>
    </row>
    <row r="63636" spans="3:13" ht="12.75" customHeight="1" x14ac:dyDescent="0.2">
      <c r="C63636"/>
      <c r="M63636"/>
    </row>
    <row r="63637" spans="3:13" ht="12.75" customHeight="1" x14ac:dyDescent="0.2">
      <c r="C63637"/>
      <c r="M63637"/>
    </row>
    <row r="63638" spans="3:13" ht="12.75" customHeight="1" x14ac:dyDescent="0.2">
      <c r="C63638"/>
      <c r="M63638"/>
    </row>
    <row r="63639" spans="3:13" ht="12.75" customHeight="1" x14ac:dyDescent="0.2">
      <c r="C63639"/>
      <c r="M63639"/>
    </row>
    <row r="63640" spans="3:13" ht="12.75" customHeight="1" x14ac:dyDescent="0.2">
      <c r="C63640"/>
      <c r="M63640"/>
    </row>
    <row r="63641" spans="3:13" ht="12.75" customHeight="1" x14ac:dyDescent="0.2">
      <c r="C63641"/>
      <c r="M63641"/>
    </row>
    <row r="63642" spans="3:13" ht="12.75" customHeight="1" x14ac:dyDescent="0.2">
      <c r="C63642"/>
      <c r="M63642"/>
    </row>
    <row r="63643" spans="3:13" ht="12.75" customHeight="1" x14ac:dyDescent="0.2">
      <c r="C63643"/>
      <c r="M63643"/>
    </row>
    <row r="63644" spans="3:13" ht="12.75" customHeight="1" x14ac:dyDescent="0.2">
      <c r="C63644"/>
      <c r="M63644"/>
    </row>
    <row r="63645" spans="3:13" ht="12.75" customHeight="1" x14ac:dyDescent="0.2">
      <c r="C63645"/>
      <c r="M63645"/>
    </row>
    <row r="63646" spans="3:13" ht="12.75" customHeight="1" x14ac:dyDescent="0.2">
      <c r="C63646"/>
      <c r="M63646"/>
    </row>
    <row r="63647" spans="3:13" ht="12.75" customHeight="1" x14ac:dyDescent="0.2">
      <c r="C63647"/>
      <c r="M63647"/>
    </row>
    <row r="63648" spans="3:13" ht="12.75" customHeight="1" x14ac:dyDescent="0.2">
      <c r="C63648"/>
      <c r="M63648"/>
    </row>
    <row r="63649" spans="3:13" ht="12.75" customHeight="1" x14ac:dyDescent="0.2">
      <c r="C63649"/>
      <c r="M63649"/>
    </row>
    <row r="63650" spans="3:13" ht="12.75" customHeight="1" x14ac:dyDescent="0.2">
      <c r="C63650"/>
      <c r="M63650"/>
    </row>
    <row r="63651" spans="3:13" ht="12.75" customHeight="1" x14ac:dyDescent="0.2">
      <c r="C63651"/>
      <c r="M63651"/>
    </row>
    <row r="63652" spans="3:13" ht="12.75" customHeight="1" x14ac:dyDescent="0.2">
      <c r="C63652"/>
      <c r="M63652"/>
    </row>
    <row r="63653" spans="3:13" ht="12.75" customHeight="1" x14ac:dyDescent="0.2">
      <c r="C63653"/>
      <c r="M63653"/>
    </row>
    <row r="63654" spans="3:13" ht="12.75" customHeight="1" x14ac:dyDescent="0.2">
      <c r="C63654"/>
      <c r="M63654"/>
    </row>
    <row r="63655" spans="3:13" ht="12.75" customHeight="1" x14ac:dyDescent="0.2">
      <c r="C63655"/>
      <c r="M63655"/>
    </row>
    <row r="63656" spans="3:13" ht="12.75" customHeight="1" x14ac:dyDescent="0.2">
      <c r="C63656"/>
      <c r="M63656"/>
    </row>
    <row r="63657" spans="3:13" ht="12.75" customHeight="1" x14ac:dyDescent="0.2">
      <c r="C63657"/>
      <c r="M63657"/>
    </row>
    <row r="63658" spans="3:13" ht="12.75" customHeight="1" x14ac:dyDescent="0.2">
      <c r="C63658"/>
      <c r="M63658"/>
    </row>
    <row r="63659" spans="3:13" ht="12.75" customHeight="1" x14ac:dyDescent="0.2">
      <c r="C63659"/>
      <c r="M63659"/>
    </row>
    <row r="63660" spans="3:13" ht="12.75" customHeight="1" x14ac:dyDescent="0.2">
      <c r="C63660"/>
      <c r="M63660"/>
    </row>
    <row r="63661" spans="3:13" ht="12.75" customHeight="1" x14ac:dyDescent="0.2">
      <c r="C63661"/>
      <c r="M63661"/>
    </row>
    <row r="63662" spans="3:13" ht="12.75" customHeight="1" x14ac:dyDescent="0.2">
      <c r="C63662"/>
      <c r="M63662"/>
    </row>
    <row r="63663" spans="3:13" ht="12.75" customHeight="1" x14ac:dyDescent="0.2">
      <c r="C63663"/>
      <c r="M63663"/>
    </row>
    <row r="63664" spans="3:13" ht="12.75" customHeight="1" x14ac:dyDescent="0.2">
      <c r="C63664"/>
      <c r="M63664"/>
    </row>
    <row r="63665" spans="3:13" ht="12.75" customHeight="1" x14ac:dyDescent="0.2">
      <c r="C63665"/>
      <c r="M63665"/>
    </row>
    <row r="63666" spans="3:13" ht="12.75" customHeight="1" x14ac:dyDescent="0.2">
      <c r="C63666"/>
      <c r="M63666"/>
    </row>
    <row r="63667" spans="3:13" ht="12.75" customHeight="1" x14ac:dyDescent="0.2">
      <c r="C63667"/>
      <c r="M63667"/>
    </row>
    <row r="63668" spans="3:13" ht="12.75" customHeight="1" x14ac:dyDescent="0.2">
      <c r="C63668"/>
      <c r="M63668"/>
    </row>
    <row r="63669" spans="3:13" ht="12.75" customHeight="1" x14ac:dyDescent="0.2">
      <c r="C63669"/>
      <c r="M63669"/>
    </row>
    <row r="63670" spans="3:13" ht="12.75" customHeight="1" x14ac:dyDescent="0.2">
      <c r="C63670"/>
      <c r="M63670"/>
    </row>
    <row r="63671" spans="3:13" ht="12.75" customHeight="1" x14ac:dyDescent="0.2">
      <c r="C63671"/>
      <c r="M63671"/>
    </row>
    <row r="63672" spans="3:13" ht="12.75" customHeight="1" x14ac:dyDescent="0.2">
      <c r="C63672"/>
      <c r="M63672"/>
    </row>
    <row r="63673" spans="3:13" ht="12.75" customHeight="1" x14ac:dyDescent="0.2">
      <c r="C63673"/>
      <c r="M63673"/>
    </row>
    <row r="63674" spans="3:13" ht="12.75" customHeight="1" x14ac:dyDescent="0.2">
      <c r="C63674"/>
      <c r="M63674"/>
    </row>
    <row r="63675" spans="3:13" ht="12.75" customHeight="1" x14ac:dyDescent="0.2">
      <c r="C63675"/>
      <c r="M63675"/>
    </row>
    <row r="63676" spans="3:13" ht="12.75" customHeight="1" x14ac:dyDescent="0.2">
      <c r="C63676"/>
      <c r="M63676"/>
    </row>
    <row r="63677" spans="3:13" ht="12.75" customHeight="1" x14ac:dyDescent="0.2">
      <c r="C63677"/>
      <c r="M63677"/>
    </row>
    <row r="63678" spans="3:13" ht="12.75" customHeight="1" x14ac:dyDescent="0.2">
      <c r="C63678"/>
      <c r="M63678"/>
    </row>
    <row r="63679" spans="3:13" ht="12.75" customHeight="1" x14ac:dyDescent="0.2">
      <c r="C63679"/>
      <c r="M63679"/>
    </row>
    <row r="63680" spans="3:13" ht="12.75" customHeight="1" x14ac:dyDescent="0.2">
      <c r="C63680"/>
      <c r="M63680"/>
    </row>
    <row r="63681" spans="3:13" ht="12.75" customHeight="1" x14ac:dyDescent="0.2">
      <c r="C63681"/>
      <c r="M63681"/>
    </row>
    <row r="63682" spans="3:13" ht="12.75" customHeight="1" x14ac:dyDescent="0.2">
      <c r="C63682"/>
      <c r="M63682"/>
    </row>
    <row r="63683" spans="3:13" ht="12.75" customHeight="1" x14ac:dyDescent="0.2">
      <c r="C63683"/>
      <c r="M63683"/>
    </row>
    <row r="63684" spans="3:13" ht="12.75" customHeight="1" x14ac:dyDescent="0.2">
      <c r="C63684"/>
      <c r="M63684"/>
    </row>
    <row r="63685" spans="3:13" ht="12.75" customHeight="1" x14ac:dyDescent="0.2">
      <c r="C63685"/>
      <c r="M63685"/>
    </row>
    <row r="63686" spans="3:13" ht="12.75" customHeight="1" x14ac:dyDescent="0.2">
      <c r="C63686"/>
      <c r="M63686"/>
    </row>
    <row r="63687" spans="3:13" ht="12.75" customHeight="1" x14ac:dyDescent="0.2">
      <c r="C63687"/>
      <c r="M63687"/>
    </row>
    <row r="63688" spans="3:13" ht="12.75" customHeight="1" x14ac:dyDescent="0.2">
      <c r="C63688"/>
      <c r="M63688"/>
    </row>
    <row r="63689" spans="3:13" ht="12.75" customHeight="1" x14ac:dyDescent="0.2">
      <c r="C63689"/>
      <c r="M63689"/>
    </row>
    <row r="63690" spans="3:13" ht="12.75" customHeight="1" x14ac:dyDescent="0.2">
      <c r="C63690"/>
      <c r="M63690"/>
    </row>
    <row r="63691" spans="3:13" ht="12.75" customHeight="1" x14ac:dyDescent="0.2">
      <c r="C63691"/>
      <c r="M63691"/>
    </row>
    <row r="63692" spans="3:13" ht="12.75" customHeight="1" x14ac:dyDescent="0.2">
      <c r="C63692"/>
      <c r="M63692"/>
    </row>
    <row r="63693" spans="3:13" ht="12.75" customHeight="1" x14ac:dyDescent="0.2">
      <c r="C63693"/>
      <c r="M63693"/>
    </row>
    <row r="63694" spans="3:13" ht="12.75" customHeight="1" x14ac:dyDescent="0.2">
      <c r="C63694"/>
      <c r="M63694"/>
    </row>
    <row r="63695" spans="3:13" ht="12.75" customHeight="1" x14ac:dyDescent="0.2">
      <c r="C63695"/>
      <c r="M63695"/>
    </row>
    <row r="63696" spans="3:13" ht="12.75" customHeight="1" x14ac:dyDescent="0.2">
      <c r="C63696"/>
      <c r="M63696"/>
    </row>
    <row r="63697" spans="3:13" ht="12.75" customHeight="1" x14ac:dyDescent="0.2">
      <c r="C63697"/>
      <c r="M63697"/>
    </row>
    <row r="63698" spans="3:13" ht="12.75" customHeight="1" x14ac:dyDescent="0.2">
      <c r="C63698"/>
      <c r="M63698"/>
    </row>
    <row r="63699" spans="3:13" ht="12.75" customHeight="1" x14ac:dyDescent="0.2">
      <c r="C63699"/>
      <c r="M63699"/>
    </row>
    <row r="63700" spans="3:13" ht="12.75" customHeight="1" x14ac:dyDescent="0.2">
      <c r="C63700"/>
      <c r="M63700"/>
    </row>
    <row r="63701" spans="3:13" ht="12.75" customHeight="1" x14ac:dyDescent="0.2">
      <c r="C63701"/>
      <c r="M63701"/>
    </row>
    <row r="63702" spans="3:13" ht="12.75" customHeight="1" x14ac:dyDescent="0.2">
      <c r="C63702"/>
      <c r="M63702"/>
    </row>
    <row r="63703" spans="3:13" ht="12.75" customHeight="1" x14ac:dyDescent="0.2">
      <c r="C63703"/>
      <c r="M63703"/>
    </row>
    <row r="63704" spans="3:13" ht="12.75" customHeight="1" x14ac:dyDescent="0.2">
      <c r="C63704"/>
      <c r="M63704"/>
    </row>
    <row r="63705" spans="3:13" ht="12.75" customHeight="1" x14ac:dyDescent="0.2">
      <c r="C63705"/>
      <c r="M63705"/>
    </row>
    <row r="63706" spans="3:13" ht="12.75" customHeight="1" x14ac:dyDescent="0.2">
      <c r="C63706"/>
      <c r="M63706"/>
    </row>
    <row r="63707" spans="3:13" ht="12.75" customHeight="1" x14ac:dyDescent="0.2">
      <c r="C63707"/>
      <c r="M63707"/>
    </row>
    <row r="63708" spans="3:13" ht="12.75" customHeight="1" x14ac:dyDescent="0.2">
      <c r="C63708"/>
      <c r="M63708"/>
    </row>
    <row r="63709" spans="3:13" ht="12.75" customHeight="1" x14ac:dyDescent="0.2">
      <c r="C63709"/>
      <c r="M63709"/>
    </row>
    <row r="63710" spans="3:13" ht="12.75" customHeight="1" x14ac:dyDescent="0.2">
      <c r="C63710"/>
      <c r="M63710"/>
    </row>
    <row r="63711" spans="3:13" ht="12.75" customHeight="1" x14ac:dyDescent="0.2">
      <c r="C63711"/>
      <c r="M63711"/>
    </row>
    <row r="63712" spans="3:13" ht="12.75" customHeight="1" x14ac:dyDescent="0.2">
      <c r="C63712"/>
      <c r="M63712"/>
    </row>
    <row r="63713" spans="3:13" ht="12.75" customHeight="1" x14ac:dyDescent="0.2">
      <c r="C63713"/>
      <c r="M63713"/>
    </row>
    <row r="63714" spans="3:13" ht="12.75" customHeight="1" x14ac:dyDescent="0.2">
      <c r="C63714"/>
      <c r="M63714"/>
    </row>
    <row r="63715" spans="3:13" ht="12.75" customHeight="1" x14ac:dyDescent="0.2">
      <c r="C63715"/>
      <c r="M63715"/>
    </row>
    <row r="63716" spans="3:13" ht="12.75" customHeight="1" x14ac:dyDescent="0.2">
      <c r="C63716"/>
      <c r="M63716"/>
    </row>
    <row r="63717" spans="3:13" ht="12.75" customHeight="1" x14ac:dyDescent="0.2">
      <c r="C63717"/>
      <c r="M63717"/>
    </row>
    <row r="63718" spans="3:13" ht="12.75" customHeight="1" x14ac:dyDescent="0.2">
      <c r="C63718"/>
      <c r="M63718"/>
    </row>
    <row r="63719" spans="3:13" ht="12.75" customHeight="1" x14ac:dyDescent="0.2">
      <c r="C63719"/>
      <c r="M63719"/>
    </row>
    <row r="63720" spans="3:13" ht="12.75" customHeight="1" x14ac:dyDescent="0.2">
      <c r="C63720"/>
      <c r="M63720"/>
    </row>
    <row r="63721" spans="3:13" ht="12.75" customHeight="1" x14ac:dyDescent="0.2">
      <c r="C63721"/>
      <c r="M63721"/>
    </row>
    <row r="63722" spans="3:13" ht="12.75" customHeight="1" x14ac:dyDescent="0.2">
      <c r="C63722"/>
      <c r="M63722"/>
    </row>
    <row r="63723" spans="3:13" ht="12.75" customHeight="1" x14ac:dyDescent="0.2">
      <c r="C63723"/>
      <c r="M63723"/>
    </row>
    <row r="63724" spans="3:13" ht="12.75" customHeight="1" x14ac:dyDescent="0.2">
      <c r="C63724"/>
      <c r="M63724"/>
    </row>
    <row r="63725" spans="3:13" ht="12.75" customHeight="1" x14ac:dyDescent="0.2">
      <c r="C63725"/>
      <c r="M63725"/>
    </row>
    <row r="63726" spans="3:13" ht="12.75" customHeight="1" x14ac:dyDescent="0.2">
      <c r="C63726"/>
      <c r="M63726"/>
    </row>
    <row r="63727" spans="3:13" ht="12.75" customHeight="1" x14ac:dyDescent="0.2">
      <c r="C63727"/>
      <c r="M63727"/>
    </row>
    <row r="63728" spans="3:13" ht="12.75" customHeight="1" x14ac:dyDescent="0.2">
      <c r="C63728"/>
      <c r="M63728"/>
    </row>
    <row r="63729" spans="3:13" ht="12.75" customHeight="1" x14ac:dyDescent="0.2">
      <c r="C63729"/>
      <c r="M63729"/>
    </row>
    <row r="63730" spans="3:13" ht="12.75" customHeight="1" x14ac:dyDescent="0.2">
      <c r="C63730"/>
      <c r="M63730"/>
    </row>
    <row r="63731" spans="3:13" ht="12.75" customHeight="1" x14ac:dyDescent="0.2">
      <c r="C63731"/>
      <c r="M63731"/>
    </row>
    <row r="63732" spans="3:13" ht="12.75" customHeight="1" x14ac:dyDescent="0.2">
      <c r="C63732"/>
      <c r="M63732"/>
    </row>
    <row r="63733" spans="3:13" ht="12.75" customHeight="1" x14ac:dyDescent="0.2">
      <c r="C63733"/>
      <c r="M63733"/>
    </row>
    <row r="63734" spans="3:13" ht="12.75" customHeight="1" x14ac:dyDescent="0.2">
      <c r="C63734"/>
      <c r="M63734"/>
    </row>
    <row r="63735" spans="3:13" ht="12.75" customHeight="1" x14ac:dyDescent="0.2">
      <c r="C63735"/>
      <c r="M63735"/>
    </row>
    <row r="63736" spans="3:13" ht="12.75" customHeight="1" x14ac:dyDescent="0.2">
      <c r="C63736"/>
      <c r="M63736"/>
    </row>
    <row r="63737" spans="3:13" ht="12.75" customHeight="1" x14ac:dyDescent="0.2">
      <c r="C63737"/>
      <c r="M63737"/>
    </row>
    <row r="63738" spans="3:13" ht="12.75" customHeight="1" x14ac:dyDescent="0.2">
      <c r="C63738"/>
      <c r="M63738"/>
    </row>
    <row r="63739" spans="3:13" ht="12.75" customHeight="1" x14ac:dyDescent="0.2">
      <c r="C63739"/>
      <c r="M63739"/>
    </row>
    <row r="63740" spans="3:13" ht="12.75" customHeight="1" x14ac:dyDescent="0.2">
      <c r="C63740"/>
      <c r="M63740"/>
    </row>
    <row r="63741" spans="3:13" ht="12.75" customHeight="1" x14ac:dyDescent="0.2">
      <c r="C63741"/>
      <c r="M63741"/>
    </row>
    <row r="63742" spans="3:13" ht="12.75" customHeight="1" x14ac:dyDescent="0.2">
      <c r="C63742"/>
      <c r="M63742"/>
    </row>
    <row r="63743" spans="3:13" ht="12.75" customHeight="1" x14ac:dyDescent="0.2">
      <c r="C63743"/>
      <c r="M63743"/>
    </row>
    <row r="63744" spans="3:13" ht="12.75" customHeight="1" x14ac:dyDescent="0.2">
      <c r="C63744"/>
      <c r="M63744"/>
    </row>
    <row r="63745" spans="3:13" ht="12.75" customHeight="1" x14ac:dyDescent="0.2">
      <c r="C63745"/>
      <c r="M63745"/>
    </row>
    <row r="63746" spans="3:13" ht="12.75" customHeight="1" x14ac:dyDescent="0.2">
      <c r="C63746"/>
      <c r="M63746"/>
    </row>
    <row r="63747" spans="3:13" ht="12.75" customHeight="1" x14ac:dyDescent="0.2">
      <c r="C63747"/>
      <c r="M63747"/>
    </row>
    <row r="63748" spans="3:13" ht="12.75" customHeight="1" x14ac:dyDescent="0.2">
      <c r="C63748"/>
      <c r="M63748"/>
    </row>
    <row r="63749" spans="3:13" ht="12.75" customHeight="1" x14ac:dyDescent="0.2">
      <c r="C63749"/>
      <c r="M63749"/>
    </row>
    <row r="63750" spans="3:13" ht="12.75" customHeight="1" x14ac:dyDescent="0.2">
      <c r="C63750"/>
      <c r="M63750"/>
    </row>
    <row r="63751" spans="3:13" ht="12.75" customHeight="1" x14ac:dyDescent="0.2">
      <c r="C63751"/>
      <c r="M63751"/>
    </row>
    <row r="63752" spans="3:13" ht="12.75" customHeight="1" x14ac:dyDescent="0.2">
      <c r="C63752"/>
      <c r="M63752"/>
    </row>
    <row r="63753" spans="3:13" ht="12.75" customHeight="1" x14ac:dyDescent="0.2">
      <c r="C63753"/>
      <c r="M63753"/>
    </row>
    <row r="63754" spans="3:13" ht="12.75" customHeight="1" x14ac:dyDescent="0.2">
      <c r="C63754"/>
      <c r="M63754"/>
    </row>
    <row r="63755" spans="3:13" ht="12.75" customHeight="1" x14ac:dyDescent="0.2">
      <c r="C63755"/>
      <c r="M63755"/>
    </row>
    <row r="63756" spans="3:13" ht="12.75" customHeight="1" x14ac:dyDescent="0.2">
      <c r="C63756"/>
      <c r="M63756"/>
    </row>
    <row r="63757" spans="3:13" ht="12.75" customHeight="1" x14ac:dyDescent="0.2">
      <c r="C63757"/>
      <c r="M63757"/>
    </row>
    <row r="63758" spans="3:13" ht="12.75" customHeight="1" x14ac:dyDescent="0.2">
      <c r="C63758"/>
      <c r="M63758"/>
    </row>
    <row r="63759" spans="3:13" ht="12.75" customHeight="1" x14ac:dyDescent="0.2">
      <c r="C63759"/>
      <c r="M63759"/>
    </row>
    <row r="63760" spans="3:13" ht="12.75" customHeight="1" x14ac:dyDescent="0.2">
      <c r="C63760"/>
      <c r="M63760"/>
    </row>
    <row r="63761" spans="3:13" ht="12.75" customHeight="1" x14ac:dyDescent="0.2">
      <c r="C63761"/>
      <c r="M63761"/>
    </row>
    <row r="63762" spans="3:13" ht="12.75" customHeight="1" x14ac:dyDescent="0.2">
      <c r="C63762"/>
      <c r="M63762"/>
    </row>
    <row r="63763" spans="3:13" ht="12.75" customHeight="1" x14ac:dyDescent="0.2">
      <c r="C63763"/>
      <c r="M63763"/>
    </row>
    <row r="63764" spans="3:13" ht="12.75" customHeight="1" x14ac:dyDescent="0.2">
      <c r="C63764"/>
      <c r="M63764"/>
    </row>
    <row r="63765" spans="3:13" ht="12.75" customHeight="1" x14ac:dyDescent="0.2">
      <c r="C63765"/>
      <c r="M63765"/>
    </row>
    <row r="63766" spans="3:13" ht="12.75" customHeight="1" x14ac:dyDescent="0.2">
      <c r="C63766"/>
      <c r="M63766"/>
    </row>
    <row r="63767" spans="3:13" ht="12.75" customHeight="1" x14ac:dyDescent="0.2">
      <c r="C63767"/>
      <c r="M63767"/>
    </row>
    <row r="63768" spans="3:13" ht="12.75" customHeight="1" x14ac:dyDescent="0.2">
      <c r="C63768"/>
      <c r="M63768"/>
    </row>
    <row r="63769" spans="3:13" ht="12.75" customHeight="1" x14ac:dyDescent="0.2">
      <c r="C63769"/>
      <c r="M63769"/>
    </row>
    <row r="63770" spans="3:13" ht="12.75" customHeight="1" x14ac:dyDescent="0.2">
      <c r="C63770"/>
      <c r="M63770"/>
    </row>
    <row r="63771" spans="3:13" ht="12.75" customHeight="1" x14ac:dyDescent="0.2">
      <c r="C63771"/>
      <c r="M63771"/>
    </row>
    <row r="63772" spans="3:13" ht="12.75" customHeight="1" x14ac:dyDescent="0.2">
      <c r="C63772"/>
      <c r="M63772"/>
    </row>
    <row r="63773" spans="3:13" ht="12.75" customHeight="1" x14ac:dyDescent="0.2">
      <c r="C63773"/>
      <c r="M63773"/>
    </row>
    <row r="63774" spans="3:13" ht="12.75" customHeight="1" x14ac:dyDescent="0.2">
      <c r="C63774"/>
      <c r="M63774"/>
    </row>
    <row r="63775" spans="3:13" ht="12.75" customHeight="1" x14ac:dyDescent="0.2">
      <c r="C63775"/>
      <c r="M63775"/>
    </row>
    <row r="63776" spans="3:13" ht="12.75" customHeight="1" x14ac:dyDescent="0.2">
      <c r="C63776"/>
      <c r="M63776"/>
    </row>
    <row r="63777" spans="3:13" ht="12.75" customHeight="1" x14ac:dyDescent="0.2">
      <c r="C63777"/>
      <c r="M63777"/>
    </row>
    <row r="63778" spans="3:13" ht="12.75" customHeight="1" x14ac:dyDescent="0.2">
      <c r="C63778"/>
      <c r="M63778"/>
    </row>
    <row r="63779" spans="3:13" ht="12.75" customHeight="1" x14ac:dyDescent="0.2">
      <c r="C63779"/>
      <c r="M63779"/>
    </row>
    <row r="63780" spans="3:13" ht="12.75" customHeight="1" x14ac:dyDescent="0.2">
      <c r="C63780"/>
      <c r="M63780"/>
    </row>
    <row r="63781" spans="3:13" ht="12.75" customHeight="1" x14ac:dyDescent="0.2">
      <c r="C63781"/>
      <c r="M63781"/>
    </row>
    <row r="63782" spans="3:13" ht="12.75" customHeight="1" x14ac:dyDescent="0.2">
      <c r="C63782"/>
      <c r="M63782"/>
    </row>
    <row r="63783" spans="3:13" ht="12.75" customHeight="1" x14ac:dyDescent="0.2">
      <c r="C63783"/>
      <c r="M63783"/>
    </row>
    <row r="63784" spans="3:13" ht="12.75" customHeight="1" x14ac:dyDescent="0.2">
      <c r="C63784"/>
      <c r="M63784"/>
    </row>
    <row r="63785" spans="3:13" ht="12.75" customHeight="1" x14ac:dyDescent="0.2">
      <c r="C63785"/>
      <c r="M63785"/>
    </row>
    <row r="63786" spans="3:13" ht="12.75" customHeight="1" x14ac:dyDescent="0.2">
      <c r="C63786"/>
      <c r="M63786"/>
    </row>
    <row r="63787" spans="3:13" ht="12.75" customHeight="1" x14ac:dyDescent="0.2">
      <c r="C63787"/>
      <c r="M63787"/>
    </row>
    <row r="63788" spans="3:13" ht="12.75" customHeight="1" x14ac:dyDescent="0.2">
      <c r="C63788"/>
      <c r="M63788"/>
    </row>
    <row r="63789" spans="3:13" ht="12.75" customHeight="1" x14ac:dyDescent="0.2">
      <c r="C63789"/>
      <c r="M63789"/>
    </row>
    <row r="63790" spans="3:13" ht="12.75" customHeight="1" x14ac:dyDescent="0.2">
      <c r="C63790"/>
      <c r="M63790"/>
    </row>
    <row r="63791" spans="3:13" ht="12.75" customHeight="1" x14ac:dyDescent="0.2">
      <c r="C63791"/>
      <c r="M63791"/>
    </row>
    <row r="63792" spans="3:13" ht="12.75" customHeight="1" x14ac:dyDescent="0.2">
      <c r="C63792"/>
      <c r="M63792"/>
    </row>
    <row r="63793" spans="3:13" ht="12.75" customHeight="1" x14ac:dyDescent="0.2">
      <c r="C63793"/>
      <c r="M63793"/>
    </row>
    <row r="63794" spans="3:13" ht="12.75" customHeight="1" x14ac:dyDescent="0.2">
      <c r="C63794"/>
      <c r="M63794"/>
    </row>
    <row r="63795" spans="3:13" ht="12.75" customHeight="1" x14ac:dyDescent="0.2">
      <c r="C63795"/>
      <c r="M63795"/>
    </row>
    <row r="63796" spans="3:13" ht="12.75" customHeight="1" x14ac:dyDescent="0.2">
      <c r="C63796"/>
      <c r="M63796"/>
    </row>
    <row r="63797" spans="3:13" ht="12.75" customHeight="1" x14ac:dyDescent="0.2">
      <c r="C63797"/>
      <c r="M63797"/>
    </row>
    <row r="63798" spans="3:13" ht="12.75" customHeight="1" x14ac:dyDescent="0.2">
      <c r="C63798"/>
      <c r="M63798"/>
    </row>
    <row r="63799" spans="3:13" ht="12.75" customHeight="1" x14ac:dyDescent="0.2">
      <c r="C63799"/>
      <c r="M63799"/>
    </row>
    <row r="63800" spans="3:13" ht="12.75" customHeight="1" x14ac:dyDescent="0.2">
      <c r="C63800"/>
      <c r="M63800"/>
    </row>
    <row r="63801" spans="3:13" ht="12.75" customHeight="1" x14ac:dyDescent="0.2">
      <c r="C63801"/>
      <c r="M63801"/>
    </row>
    <row r="63802" spans="3:13" ht="12.75" customHeight="1" x14ac:dyDescent="0.2">
      <c r="C63802"/>
      <c r="M63802"/>
    </row>
    <row r="63803" spans="3:13" ht="12.75" customHeight="1" x14ac:dyDescent="0.2">
      <c r="C63803"/>
      <c r="M63803"/>
    </row>
    <row r="63804" spans="3:13" ht="12.75" customHeight="1" x14ac:dyDescent="0.2">
      <c r="C63804"/>
      <c r="M63804"/>
    </row>
    <row r="63805" spans="3:13" ht="12.75" customHeight="1" x14ac:dyDescent="0.2">
      <c r="C63805"/>
      <c r="M63805"/>
    </row>
    <row r="63806" spans="3:13" ht="12.75" customHeight="1" x14ac:dyDescent="0.2">
      <c r="C63806"/>
      <c r="M63806"/>
    </row>
    <row r="63807" spans="3:13" ht="12.75" customHeight="1" x14ac:dyDescent="0.2">
      <c r="C63807"/>
      <c r="M63807"/>
    </row>
    <row r="63808" spans="3:13" ht="12.75" customHeight="1" x14ac:dyDescent="0.2">
      <c r="C63808"/>
      <c r="M63808"/>
    </row>
    <row r="63809" spans="3:13" ht="12.75" customHeight="1" x14ac:dyDescent="0.2">
      <c r="C63809"/>
      <c r="M63809"/>
    </row>
    <row r="63810" spans="3:13" ht="12.75" customHeight="1" x14ac:dyDescent="0.2">
      <c r="C63810"/>
      <c r="M63810"/>
    </row>
    <row r="63811" spans="3:13" ht="12.75" customHeight="1" x14ac:dyDescent="0.2">
      <c r="C63811"/>
      <c r="M63811"/>
    </row>
    <row r="63812" spans="3:13" ht="12.75" customHeight="1" x14ac:dyDescent="0.2">
      <c r="C63812"/>
      <c r="M63812"/>
    </row>
    <row r="63813" spans="3:13" ht="12.75" customHeight="1" x14ac:dyDescent="0.2">
      <c r="C63813"/>
      <c r="M63813"/>
    </row>
    <row r="63814" spans="3:13" ht="12.75" customHeight="1" x14ac:dyDescent="0.2">
      <c r="C63814"/>
      <c r="M63814"/>
    </row>
    <row r="63815" spans="3:13" ht="12.75" customHeight="1" x14ac:dyDescent="0.2">
      <c r="C63815"/>
      <c r="M63815"/>
    </row>
    <row r="63816" spans="3:13" ht="12.75" customHeight="1" x14ac:dyDescent="0.2">
      <c r="C63816"/>
      <c r="M63816"/>
    </row>
    <row r="63817" spans="3:13" ht="12.75" customHeight="1" x14ac:dyDescent="0.2">
      <c r="C63817"/>
      <c r="M63817"/>
    </row>
    <row r="63818" spans="3:13" ht="12.75" customHeight="1" x14ac:dyDescent="0.2">
      <c r="C63818"/>
      <c r="M63818"/>
    </row>
    <row r="63819" spans="3:13" ht="12.75" customHeight="1" x14ac:dyDescent="0.2">
      <c r="C63819"/>
      <c r="M63819"/>
    </row>
    <row r="63820" spans="3:13" ht="12.75" customHeight="1" x14ac:dyDescent="0.2">
      <c r="C63820"/>
      <c r="M63820"/>
    </row>
    <row r="63821" spans="3:13" ht="12.75" customHeight="1" x14ac:dyDescent="0.2">
      <c r="C63821"/>
      <c r="M63821"/>
    </row>
    <row r="63822" spans="3:13" ht="12.75" customHeight="1" x14ac:dyDescent="0.2">
      <c r="C63822"/>
      <c r="M63822"/>
    </row>
    <row r="63823" spans="3:13" ht="12.75" customHeight="1" x14ac:dyDescent="0.2">
      <c r="C63823"/>
      <c r="M63823"/>
    </row>
    <row r="63824" spans="3:13" ht="12.75" customHeight="1" x14ac:dyDescent="0.2">
      <c r="C63824"/>
      <c r="M63824"/>
    </row>
    <row r="63825" spans="3:13" ht="12.75" customHeight="1" x14ac:dyDescent="0.2">
      <c r="C63825"/>
      <c r="M63825"/>
    </row>
    <row r="63826" spans="3:13" ht="12.75" customHeight="1" x14ac:dyDescent="0.2">
      <c r="C63826"/>
      <c r="M63826"/>
    </row>
    <row r="63827" spans="3:13" ht="12.75" customHeight="1" x14ac:dyDescent="0.2">
      <c r="C63827"/>
      <c r="M63827"/>
    </row>
    <row r="63828" spans="3:13" ht="12.75" customHeight="1" x14ac:dyDescent="0.2">
      <c r="C63828"/>
      <c r="M63828"/>
    </row>
    <row r="63829" spans="3:13" ht="12.75" customHeight="1" x14ac:dyDescent="0.2">
      <c r="C63829"/>
      <c r="M63829"/>
    </row>
    <row r="63830" spans="3:13" ht="12.75" customHeight="1" x14ac:dyDescent="0.2">
      <c r="C63830"/>
      <c r="M63830"/>
    </row>
    <row r="63831" spans="3:13" ht="12.75" customHeight="1" x14ac:dyDescent="0.2">
      <c r="C63831"/>
      <c r="M63831"/>
    </row>
    <row r="63832" spans="3:13" ht="12.75" customHeight="1" x14ac:dyDescent="0.2">
      <c r="C63832"/>
      <c r="M63832"/>
    </row>
    <row r="63833" spans="3:13" ht="12.75" customHeight="1" x14ac:dyDescent="0.2">
      <c r="C63833"/>
      <c r="M63833"/>
    </row>
    <row r="63834" spans="3:13" ht="12.75" customHeight="1" x14ac:dyDescent="0.2">
      <c r="C63834"/>
      <c r="M63834"/>
    </row>
    <row r="63835" spans="3:13" ht="12.75" customHeight="1" x14ac:dyDescent="0.2">
      <c r="C63835"/>
      <c r="M63835"/>
    </row>
    <row r="63836" spans="3:13" ht="12.75" customHeight="1" x14ac:dyDescent="0.2">
      <c r="C63836"/>
      <c r="M63836"/>
    </row>
    <row r="63837" spans="3:13" ht="12.75" customHeight="1" x14ac:dyDescent="0.2">
      <c r="C63837"/>
      <c r="M63837"/>
    </row>
    <row r="63838" spans="3:13" ht="12.75" customHeight="1" x14ac:dyDescent="0.2">
      <c r="C63838"/>
      <c r="M63838"/>
    </row>
    <row r="63839" spans="3:13" ht="12.75" customHeight="1" x14ac:dyDescent="0.2">
      <c r="C63839"/>
      <c r="M63839"/>
    </row>
    <row r="63840" spans="3:13" ht="12.75" customHeight="1" x14ac:dyDescent="0.2">
      <c r="C63840"/>
      <c r="M63840"/>
    </row>
    <row r="63841" spans="3:13" ht="12.75" customHeight="1" x14ac:dyDescent="0.2">
      <c r="C63841"/>
      <c r="M63841"/>
    </row>
    <row r="63842" spans="3:13" ht="12.75" customHeight="1" x14ac:dyDescent="0.2">
      <c r="C63842"/>
      <c r="M63842"/>
    </row>
    <row r="63843" spans="3:13" ht="12.75" customHeight="1" x14ac:dyDescent="0.2">
      <c r="C63843"/>
      <c r="M63843"/>
    </row>
    <row r="63844" spans="3:13" ht="12.75" customHeight="1" x14ac:dyDescent="0.2">
      <c r="C63844"/>
      <c r="M63844"/>
    </row>
    <row r="63845" spans="3:13" ht="12.75" customHeight="1" x14ac:dyDescent="0.2">
      <c r="C63845"/>
      <c r="M63845"/>
    </row>
    <row r="63846" spans="3:13" ht="12.75" customHeight="1" x14ac:dyDescent="0.2">
      <c r="C63846"/>
      <c r="M63846"/>
    </row>
    <row r="63847" spans="3:13" ht="12.75" customHeight="1" x14ac:dyDescent="0.2">
      <c r="C63847"/>
      <c r="M63847"/>
    </row>
    <row r="63848" spans="3:13" ht="12.75" customHeight="1" x14ac:dyDescent="0.2">
      <c r="C63848"/>
      <c r="M63848"/>
    </row>
    <row r="63849" spans="3:13" ht="12.75" customHeight="1" x14ac:dyDescent="0.2">
      <c r="C63849"/>
      <c r="M63849"/>
    </row>
    <row r="63850" spans="3:13" ht="12.75" customHeight="1" x14ac:dyDescent="0.2">
      <c r="C63850"/>
      <c r="M63850"/>
    </row>
    <row r="63851" spans="3:13" ht="12.75" customHeight="1" x14ac:dyDescent="0.2">
      <c r="C63851"/>
      <c r="M63851"/>
    </row>
    <row r="63852" spans="3:13" ht="12.75" customHeight="1" x14ac:dyDescent="0.2">
      <c r="C63852"/>
      <c r="M63852"/>
    </row>
    <row r="63853" spans="3:13" ht="12.75" customHeight="1" x14ac:dyDescent="0.2">
      <c r="C63853"/>
      <c r="M63853"/>
    </row>
    <row r="63854" spans="3:13" ht="12.75" customHeight="1" x14ac:dyDescent="0.2">
      <c r="C63854"/>
      <c r="M63854"/>
    </row>
    <row r="63855" spans="3:13" ht="12.75" customHeight="1" x14ac:dyDescent="0.2">
      <c r="C63855"/>
      <c r="M63855"/>
    </row>
    <row r="63856" spans="3:13" ht="12.75" customHeight="1" x14ac:dyDescent="0.2">
      <c r="C63856"/>
      <c r="M63856"/>
    </row>
    <row r="63857" spans="3:13" ht="12.75" customHeight="1" x14ac:dyDescent="0.2">
      <c r="C63857"/>
      <c r="M63857"/>
    </row>
    <row r="63858" spans="3:13" ht="12.75" customHeight="1" x14ac:dyDescent="0.2">
      <c r="C63858"/>
      <c r="M63858"/>
    </row>
    <row r="63859" spans="3:13" ht="12.75" customHeight="1" x14ac:dyDescent="0.2">
      <c r="C63859"/>
      <c r="M63859"/>
    </row>
    <row r="63860" spans="3:13" ht="12.75" customHeight="1" x14ac:dyDescent="0.2">
      <c r="C63860"/>
      <c r="M63860"/>
    </row>
    <row r="63861" spans="3:13" ht="12.75" customHeight="1" x14ac:dyDescent="0.2">
      <c r="C63861"/>
      <c r="M63861"/>
    </row>
    <row r="63862" spans="3:13" ht="12.75" customHeight="1" x14ac:dyDescent="0.2">
      <c r="C63862"/>
      <c r="M63862"/>
    </row>
    <row r="63863" spans="3:13" ht="12.75" customHeight="1" x14ac:dyDescent="0.2">
      <c r="C63863"/>
      <c r="M63863"/>
    </row>
    <row r="63864" spans="3:13" ht="12.75" customHeight="1" x14ac:dyDescent="0.2">
      <c r="C63864"/>
      <c r="M63864"/>
    </row>
    <row r="63865" spans="3:13" ht="12.75" customHeight="1" x14ac:dyDescent="0.2">
      <c r="C63865"/>
      <c r="M63865"/>
    </row>
    <row r="63866" spans="3:13" ht="12.75" customHeight="1" x14ac:dyDescent="0.2">
      <c r="C63866"/>
      <c r="M63866"/>
    </row>
    <row r="63867" spans="3:13" ht="12.75" customHeight="1" x14ac:dyDescent="0.2">
      <c r="C63867"/>
      <c r="M63867"/>
    </row>
    <row r="63868" spans="3:13" ht="12.75" customHeight="1" x14ac:dyDescent="0.2">
      <c r="C63868"/>
      <c r="M63868"/>
    </row>
    <row r="63869" spans="3:13" ht="12.75" customHeight="1" x14ac:dyDescent="0.2">
      <c r="C63869"/>
      <c r="M63869"/>
    </row>
    <row r="63870" spans="3:13" ht="12.75" customHeight="1" x14ac:dyDescent="0.2">
      <c r="C63870"/>
      <c r="M63870"/>
    </row>
    <row r="63871" spans="3:13" ht="12.75" customHeight="1" x14ac:dyDescent="0.2">
      <c r="C63871"/>
      <c r="M63871"/>
    </row>
    <row r="63872" spans="3:13" ht="12.75" customHeight="1" x14ac:dyDescent="0.2">
      <c r="C63872"/>
      <c r="M63872"/>
    </row>
    <row r="63873" spans="3:13" ht="12.75" customHeight="1" x14ac:dyDescent="0.2">
      <c r="C63873"/>
      <c r="M63873"/>
    </row>
    <row r="63874" spans="3:13" ht="12.75" customHeight="1" x14ac:dyDescent="0.2">
      <c r="C63874"/>
      <c r="M63874"/>
    </row>
    <row r="63875" spans="3:13" ht="12.75" customHeight="1" x14ac:dyDescent="0.2">
      <c r="C63875"/>
      <c r="M63875"/>
    </row>
    <row r="63876" spans="3:13" ht="12.75" customHeight="1" x14ac:dyDescent="0.2">
      <c r="C63876"/>
      <c r="M63876"/>
    </row>
    <row r="63877" spans="3:13" ht="12.75" customHeight="1" x14ac:dyDescent="0.2">
      <c r="C63877"/>
      <c r="M63877"/>
    </row>
    <row r="63878" spans="3:13" ht="12.75" customHeight="1" x14ac:dyDescent="0.2">
      <c r="C63878"/>
      <c r="M63878"/>
    </row>
    <row r="63879" spans="3:13" ht="12.75" customHeight="1" x14ac:dyDescent="0.2">
      <c r="C63879"/>
      <c r="M63879"/>
    </row>
    <row r="63880" spans="3:13" ht="12.75" customHeight="1" x14ac:dyDescent="0.2">
      <c r="C63880"/>
      <c r="M63880"/>
    </row>
    <row r="63881" spans="3:13" ht="12.75" customHeight="1" x14ac:dyDescent="0.2">
      <c r="C63881"/>
      <c r="M63881"/>
    </row>
    <row r="63882" spans="3:13" ht="12.75" customHeight="1" x14ac:dyDescent="0.2">
      <c r="C63882"/>
      <c r="M63882"/>
    </row>
    <row r="63883" spans="3:13" ht="12.75" customHeight="1" x14ac:dyDescent="0.2">
      <c r="C63883"/>
      <c r="M63883"/>
    </row>
    <row r="63884" spans="3:13" ht="12.75" customHeight="1" x14ac:dyDescent="0.2">
      <c r="C63884"/>
      <c r="M63884"/>
    </row>
    <row r="63885" spans="3:13" ht="12.75" customHeight="1" x14ac:dyDescent="0.2">
      <c r="C63885"/>
      <c r="M63885"/>
    </row>
    <row r="63886" spans="3:13" ht="12.75" customHeight="1" x14ac:dyDescent="0.2">
      <c r="C63886"/>
      <c r="M63886"/>
    </row>
    <row r="63887" spans="3:13" ht="12.75" customHeight="1" x14ac:dyDescent="0.2">
      <c r="C63887"/>
      <c r="M63887"/>
    </row>
    <row r="63888" spans="3:13" ht="12.75" customHeight="1" x14ac:dyDescent="0.2">
      <c r="C63888"/>
      <c r="M63888"/>
    </row>
    <row r="63889" spans="3:13" ht="12.75" customHeight="1" x14ac:dyDescent="0.2">
      <c r="C63889"/>
      <c r="M63889"/>
    </row>
    <row r="63890" spans="3:13" ht="12.75" customHeight="1" x14ac:dyDescent="0.2">
      <c r="C63890"/>
      <c r="M63890"/>
    </row>
    <row r="63891" spans="3:13" ht="12.75" customHeight="1" x14ac:dyDescent="0.2">
      <c r="C63891"/>
      <c r="M63891"/>
    </row>
    <row r="63892" spans="3:13" ht="12.75" customHeight="1" x14ac:dyDescent="0.2">
      <c r="C63892"/>
      <c r="M63892"/>
    </row>
    <row r="63893" spans="3:13" ht="12.75" customHeight="1" x14ac:dyDescent="0.2">
      <c r="C63893"/>
      <c r="M63893"/>
    </row>
    <row r="63894" spans="3:13" ht="12.75" customHeight="1" x14ac:dyDescent="0.2">
      <c r="C63894"/>
      <c r="M63894"/>
    </row>
    <row r="63895" spans="3:13" ht="12.75" customHeight="1" x14ac:dyDescent="0.2">
      <c r="C63895"/>
      <c r="M63895"/>
    </row>
    <row r="63896" spans="3:13" ht="12.75" customHeight="1" x14ac:dyDescent="0.2">
      <c r="C63896"/>
      <c r="M63896"/>
    </row>
    <row r="63897" spans="3:13" ht="12.75" customHeight="1" x14ac:dyDescent="0.2">
      <c r="C63897"/>
      <c r="M63897"/>
    </row>
    <row r="63898" spans="3:13" ht="12.75" customHeight="1" x14ac:dyDescent="0.2">
      <c r="C63898"/>
      <c r="M63898"/>
    </row>
    <row r="63899" spans="3:13" ht="12.75" customHeight="1" x14ac:dyDescent="0.2">
      <c r="C63899"/>
      <c r="M63899"/>
    </row>
    <row r="63900" spans="3:13" ht="12.75" customHeight="1" x14ac:dyDescent="0.2">
      <c r="C63900"/>
      <c r="M63900"/>
    </row>
    <row r="63901" spans="3:13" ht="12.75" customHeight="1" x14ac:dyDescent="0.2">
      <c r="C63901"/>
      <c r="M63901"/>
    </row>
    <row r="63902" spans="3:13" ht="12.75" customHeight="1" x14ac:dyDescent="0.2">
      <c r="C63902"/>
      <c r="M63902"/>
    </row>
    <row r="63903" spans="3:13" ht="12.75" customHeight="1" x14ac:dyDescent="0.2">
      <c r="C63903"/>
      <c r="M63903"/>
    </row>
    <row r="63904" spans="3:13" ht="12.75" customHeight="1" x14ac:dyDescent="0.2">
      <c r="C63904"/>
      <c r="M63904"/>
    </row>
    <row r="63905" spans="3:13" ht="12.75" customHeight="1" x14ac:dyDescent="0.2">
      <c r="C63905"/>
      <c r="M63905"/>
    </row>
    <row r="63906" spans="3:13" ht="12.75" customHeight="1" x14ac:dyDescent="0.2">
      <c r="C63906"/>
      <c r="M63906"/>
    </row>
    <row r="63907" spans="3:13" ht="12.75" customHeight="1" x14ac:dyDescent="0.2">
      <c r="C63907"/>
      <c r="M63907"/>
    </row>
    <row r="63908" spans="3:13" ht="12.75" customHeight="1" x14ac:dyDescent="0.2">
      <c r="C63908"/>
      <c r="M63908"/>
    </row>
    <row r="63909" spans="3:13" ht="12.75" customHeight="1" x14ac:dyDescent="0.2">
      <c r="C63909"/>
      <c r="M63909"/>
    </row>
    <row r="63910" spans="3:13" ht="12.75" customHeight="1" x14ac:dyDescent="0.2">
      <c r="C63910"/>
      <c r="M63910"/>
    </row>
    <row r="63911" spans="3:13" ht="12.75" customHeight="1" x14ac:dyDescent="0.2">
      <c r="C63911"/>
      <c r="M63911"/>
    </row>
    <row r="63912" spans="3:13" ht="12.75" customHeight="1" x14ac:dyDescent="0.2">
      <c r="C63912"/>
      <c r="M63912"/>
    </row>
    <row r="63913" spans="3:13" ht="12.75" customHeight="1" x14ac:dyDescent="0.2">
      <c r="C63913"/>
      <c r="M63913"/>
    </row>
    <row r="63914" spans="3:13" ht="12.75" customHeight="1" x14ac:dyDescent="0.2">
      <c r="C63914"/>
      <c r="M63914"/>
    </row>
    <row r="63915" spans="3:13" ht="12.75" customHeight="1" x14ac:dyDescent="0.2">
      <c r="C63915"/>
      <c r="M63915"/>
    </row>
    <row r="63916" spans="3:13" ht="12.75" customHeight="1" x14ac:dyDescent="0.2">
      <c r="C63916"/>
      <c r="M63916"/>
    </row>
    <row r="63917" spans="3:13" ht="12.75" customHeight="1" x14ac:dyDescent="0.2">
      <c r="C63917"/>
      <c r="M63917"/>
    </row>
    <row r="63918" spans="3:13" ht="12.75" customHeight="1" x14ac:dyDescent="0.2">
      <c r="C63918"/>
      <c r="M63918"/>
    </row>
    <row r="63919" spans="3:13" ht="12.75" customHeight="1" x14ac:dyDescent="0.2">
      <c r="C63919"/>
      <c r="M63919"/>
    </row>
    <row r="63920" spans="3:13" ht="12.75" customHeight="1" x14ac:dyDescent="0.2">
      <c r="C63920"/>
      <c r="M63920"/>
    </row>
    <row r="63921" spans="3:13" ht="12.75" customHeight="1" x14ac:dyDescent="0.2">
      <c r="C63921"/>
      <c r="M63921"/>
    </row>
    <row r="63922" spans="3:13" ht="12.75" customHeight="1" x14ac:dyDescent="0.2">
      <c r="C63922"/>
      <c r="M63922"/>
    </row>
    <row r="63923" spans="3:13" ht="12.75" customHeight="1" x14ac:dyDescent="0.2">
      <c r="C63923"/>
      <c r="M63923"/>
    </row>
    <row r="63924" spans="3:13" ht="12.75" customHeight="1" x14ac:dyDescent="0.2">
      <c r="C63924"/>
      <c r="M63924"/>
    </row>
    <row r="63925" spans="3:13" ht="12.75" customHeight="1" x14ac:dyDescent="0.2">
      <c r="C63925"/>
      <c r="M63925"/>
    </row>
    <row r="63926" spans="3:13" ht="12.75" customHeight="1" x14ac:dyDescent="0.2">
      <c r="C63926"/>
      <c r="M63926"/>
    </row>
    <row r="63927" spans="3:13" ht="12.75" customHeight="1" x14ac:dyDescent="0.2">
      <c r="C63927"/>
      <c r="M63927"/>
    </row>
    <row r="63928" spans="3:13" ht="12.75" customHeight="1" x14ac:dyDescent="0.2">
      <c r="C63928"/>
      <c r="M63928"/>
    </row>
    <row r="63929" spans="3:13" ht="12.75" customHeight="1" x14ac:dyDescent="0.2">
      <c r="C63929"/>
      <c r="M63929"/>
    </row>
    <row r="63930" spans="3:13" ht="12.75" customHeight="1" x14ac:dyDescent="0.2">
      <c r="C63930"/>
      <c r="M63930"/>
    </row>
    <row r="63931" spans="3:13" ht="12.75" customHeight="1" x14ac:dyDescent="0.2">
      <c r="C63931"/>
      <c r="M63931"/>
    </row>
    <row r="63932" spans="3:13" ht="12.75" customHeight="1" x14ac:dyDescent="0.2">
      <c r="C63932"/>
      <c r="M63932"/>
    </row>
    <row r="63933" spans="3:13" ht="12.75" customHeight="1" x14ac:dyDescent="0.2">
      <c r="C63933"/>
      <c r="M63933"/>
    </row>
    <row r="63934" spans="3:13" ht="12.75" customHeight="1" x14ac:dyDescent="0.2">
      <c r="C63934"/>
      <c r="M63934"/>
    </row>
    <row r="63935" spans="3:13" ht="12.75" customHeight="1" x14ac:dyDescent="0.2">
      <c r="C63935"/>
      <c r="M63935"/>
    </row>
    <row r="63936" spans="3:13" ht="12.75" customHeight="1" x14ac:dyDescent="0.2">
      <c r="C63936"/>
      <c r="M63936"/>
    </row>
    <row r="63937" spans="3:13" ht="12.75" customHeight="1" x14ac:dyDescent="0.2">
      <c r="C63937"/>
      <c r="M63937"/>
    </row>
    <row r="63938" spans="3:13" ht="12.75" customHeight="1" x14ac:dyDescent="0.2">
      <c r="C63938"/>
      <c r="M63938"/>
    </row>
    <row r="63939" spans="3:13" ht="12.75" customHeight="1" x14ac:dyDescent="0.2">
      <c r="C63939"/>
      <c r="M63939"/>
    </row>
    <row r="63940" spans="3:13" ht="12.75" customHeight="1" x14ac:dyDescent="0.2">
      <c r="C63940"/>
      <c r="M63940"/>
    </row>
    <row r="63941" spans="3:13" ht="12.75" customHeight="1" x14ac:dyDescent="0.2">
      <c r="C63941"/>
      <c r="M63941"/>
    </row>
    <row r="63942" spans="3:13" ht="12.75" customHeight="1" x14ac:dyDescent="0.2">
      <c r="C63942"/>
      <c r="M63942"/>
    </row>
    <row r="63943" spans="3:13" ht="12.75" customHeight="1" x14ac:dyDescent="0.2">
      <c r="C63943"/>
      <c r="M63943"/>
    </row>
    <row r="63944" spans="3:13" ht="12.75" customHeight="1" x14ac:dyDescent="0.2">
      <c r="C63944"/>
      <c r="M63944"/>
    </row>
    <row r="63945" spans="3:13" ht="12.75" customHeight="1" x14ac:dyDescent="0.2">
      <c r="C63945"/>
      <c r="M63945"/>
    </row>
    <row r="63946" spans="3:13" ht="12.75" customHeight="1" x14ac:dyDescent="0.2">
      <c r="C63946"/>
      <c r="M63946"/>
    </row>
    <row r="63947" spans="3:13" ht="12.75" customHeight="1" x14ac:dyDescent="0.2">
      <c r="C63947"/>
      <c r="M63947"/>
    </row>
    <row r="63948" spans="3:13" ht="12.75" customHeight="1" x14ac:dyDescent="0.2">
      <c r="C63948"/>
      <c r="M63948"/>
    </row>
    <row r="63949" spans="3:13" ht="12.75" customHeight="1" x14ac:dyDescent="0.2">
      <c r="C63949"/>
      <c r="M63949"/>
    </row>
    <row r="63950" spans="3:13" ht="12.75" customHeight="1" x14ac:dyDescent="0.2">
      <c r="C63950"/>
      <c r="M63950"/>
    </row>
    <row r="63951" spans="3:13" ht="12.75" customHeight="1" x14ac:dyDescent="0.2">
      <c r="C63951"/>
      <c r="M63951"/>
    </row>
    <row r="63952" spans="3:13" ht="12.75" customHeight="1" x14ac:dyDescent="0.2">
      <c r="C63952"/>
      <c r="M63952"/>
    </row>
    <row r="63953" spans="3:13" ht="12.75" customHeight="1" x14ac:dyDescent="0.2">
      <c r="C63953"/>
      <c r="M63953"/>
    </row>
    <row r="63954" spans="3:13" ht="12.75" customHeight="1" x14ac:dyDescent="0.2">
      <c r="C63954"/>
      <c r="M63954"/>
    </row>
    <row r="63955" spans="3:13" ht="12.75" customHeight="1" x14ac:dyDescent="0.2">
      <c r="C63955"/>
      <c r="M63955"/>
    </row>
    <row r="63956" spans="3:13" ht="12.75" customHeight="1" x14ac:dyDescent="0.2">
      <c r="C63956"/>
      <c r="M63956"/>
    </row>
    <row r="63957" spans="3:13" ht="12.75" customHeight="1" x14ac:dyDescent="0.2">
      <c r="C63957"/>
      <c r="M63957"/>
    </row>
    <row r="63958" spans="3:13" ht="12.75" customHeight="1" x14ac:dyDescent="0.2">
      <c r="C63958"/>
      <c r="M63958"/>
    </row>
    <row r="63959" spans="3:13" ht="12.75" customHeight="1" x14ac:dyDescent="0.2">
      <c r="C63959"/>
      <c r="M63959"/>
    </row>
    <row r="63960" spans="3:13" ht="12.75" customHeight="1" x14ac:dyDescent="0.2">
      <c r="C63960"/>
      <c r="M63960"/>
    </row>
    <row r="63961" spans="3:13" ht="12.75" customHeight="1" x14ac:dyDescent="0.2">
      <c r="C63961"/>
      <c r="M63961"/>
    </row>
    <row r="63962" spans="3:13" ht="12.75" customHeight="1" x14ac:dyDescent="0.2">
      <c r="C63962"/>
      <c r="M63962"/>
    </row>
    <row r="63963" spans="3:13" ht="12.75" customHeight="1" x14ac:dyDescent="0.2">
      <c r="C63963"/>
      <c r="M63963"/>
    </row>
    <row r="63964" spans="3:13" ht="12.75" customHeight="1" x14ac:dyDescent="0.2">
      <c r="C63964"/>
      <c r="M63964"/>
    </row>
    <row r="63965" spans="3:13" ht="12.75" customHeight="1" x14ac:dyDescent="0.2">
      <c r="C63965"/>
      <c r="M63965"/>
    </row>
    <row r="63966" spans="3:13" ht="12.75" customHeight="1" x14ac:dyDescent="0.2">
      <c r="C63966"/>
      <c r="M63966"/>
    </row>
    <row r="63967" spans="3:13" ht="12.75" customHeight="1" x14ac:dyDescent="0.2">
      <c r="C63967"/>
      <c r="M63967"/>
    </row>
    <row r="63968" spans="3:13" ht="12.75" customHeight="1" x14ac:dyDescent="0.2">
      <c r="C63968"/>
      <c r="M63968"/>
    </row>
    <row r="63969" spans="3:13" ht="12.75" customHeight="1" x14ac:dyDescent="0.2">
      <c r="C63969"/>
      <c r="M63969"/>
    </row>
    <row r="63970" spans="3:13" ht="12.75" customHeight="1" x14ac:dyDescent="0.2">
      <c r="C63970"/>
      <c r="M63970"/>
    </row>
    <row r="63971" spans="3:13" ht="12.75" customHeight="1" x14ac:dyDescent="0.2">
      <c r="C63971"/>
      <c r="M63971"/>
    </row>
    <row r="63972" spans="3:13" ht="12.75" customHeight="1" x14ac:dyDescent="0.2">
      <c r="C63972"/>
      <c r="M63972"/>
    </row>
    <row r="63973" spans="3:13" ht="12.75" customHeight="1" x14ac:dyDescent="0.2">
      <c r="C63973"/>
      <c r="M63973"/>
    </row>
    <row r="63974" spans="3:13" ht="12.75" customHeight="1" x14ac:dyDescent="0.2">
      <c r="C63974"/>
      <c r="M63974"/>
    </row>
    <row r="63975" spans="3:13" ht="12.75" customHeight="1" x14ac:dyDescent="0.2">
      <c r="C63975"/>
      <c r="M63975"/>
    </row>
    <row r="63976" spans="3:13" ht="12.75" customHeight="1" x14ac:dyDescent="0.2">
      <c r="C63976"/>
      <c r="M63976"/>
    </row>
    <row r="63977" spans="3:13" ht="12.75" customHeight="1" x14ac:dyDescent="0.2">
      <c r="C63977"/>
      <c r="M63977"/>
    </row>
    <row r="63978" spans="3:13" ht="12.75" customHeight="1" x14ac:dyDescent="0.2">
      <c r="C63978"/>
      <c r="M63978"/>
    </row>
    <row r="63979" spans="3:13" ht="12.75" customHeight="1" x14ac:dyDescent="0.2">
      <c r="C63979"/>
      <c r="M63979"/>
    </row>
    <row r="63980" spans="3:13" ht="12.75" customHeight="1" x14ac:dyDescent="0.2">
      <c r="C63980"/>
      <c r="M63980"/>
    </row>
    <row r="63981" spans="3:13" ht="12.75" customHeight="1" x14ac:dyDescent="0.2">
      <c r="C63981"/>
      <c r="M63981"/>
    </row>
    <row r="63982" spans="3:13" ht="12.75" customHeight="1" x14ac:dyDescent="0.2">
      <c r="C63982"/>
      <c r="M63982"/>
    </row>
    <row r="63983" spans="3:13" ht="12.75" customHeight="1" x14ac:dyDescent="0.2">
      <c r="C63983"/>
      <c r="M63983"/>
    </row>
    <row r="63984" spans="3:13" ht="12.75" customHeight="1" x14ac:dyDescent="0.2">
      <c r="C63984"/>
      <c r="M63984"/>
    </row>
    <row r="63985" spans="3:13" ht="12.75" customHeight="1" x14ac:dyDescent="0.2">
      <c r="C63985"/>
      <c r="M63985"/>
    </row>
    <row r="63986" spans="3:13" ht="12.75" customHeight="1" x14ac:dyDescent="0.2">
      <c r="C63986"/>
      <c r="M63986"/>
    </row>
    <row r="63987" spans="3:13" ht="12.75" customHeight="1" x14ac:dyDescent="0.2">
      <c r="C63987"/>
      <c r="M63987"/>
    </row>
    <row r="63988" spans="3:13" ht="12.75" customHeight="1" x14ac:dyDescent="0.2">
      <c r="C63988"/>
      <c r="M63988"/>
    </row>
    <row r="63989" spans="3:13" ht="12.75" customHeight="1" x14ac:dyDescent="0.2">
      <c r="C63989"/>
      <c r="M63989"/>
    </row>
    <row r="63990" spans="3:13" ht="12.75" customHeight="1" x14ac:dyDescent="0.2">
      <c r="C63990"/>
      <c r="M63990"/>
    </row>
    <row r="63991" spans="3:13" ht="12.75" customHeight="1" x14ac:dyDescent="0.2">
      <c r="C63991"/>
      <c r="M63991"/>
    </row>
    <row r="63992" spans="3:13" ht="12.75" customHeight="1" x14ac:dyDescent="0.2">
      <c r="C63992"/>
      <c r="M63992"/>
    </row>
    <row r="63993" spans="3:13" ht="12.75" customHeight="1" x14ac:dyDescent="0.2">
      <c r="C63993"/>
      <c r="M63993"/>
    </row>
    <row r="63994" spans="3:13" ht="12.75" customHeight="1" x14ac:dyDescent="0.2">
      <c r="C63994"/>
      <c r="M63994"/>
    </row>
    <row r="63995" spans="3:13" ht="12.75" customHeight="1" x14ac:dyDescent="0.2">
      <c r="C63995"/>
      <c r="M63995"/>
    </row>
    <row r="63996" spans="3:13" ht="12.75" customHeight="1" x14ac:dyDescent="0.2">
      <c r="C63996"/>
      <c r="M63996"/>
    </row>
    <row r="63997" spans="3:13" ht="12.75" customHeight="1" x14ac:dyDescent="0.2">
      <c r="C63997"/>
      <c r="M63997"/>
    </row>
    <row r="63998" spans="3:13" ht="12.75" customHeight="1" x14ac:dyDescent="0.2">
      <c r="C63998"/>
      <c r="M63998"/>
    </row>
    <row r="63999" spans="3:13" ht="12.75" customHeight="1" x14ac:dyDescent="0.2">
      <c r="C63999"/>
      <c r="M63999"/>
    </row>
    <row r="64000" spans="3:13" ht="12.75" customHeight="1" x14ac:dyDescent="0.2">
      <c r="C64000"/>
      <c r="M64000"/>
    </row>
    <row r="64001" spans="3:13" ht="12.75" customHeight="1" x14ac:dyDescent="0.2">
      <c r="C64001"/>
      <c r="M64001"/>
    </row>
    <row r="64002" spans="3:13" ht="12.75" customHeight="1" x14ac:dyDescent="0.2">
      <c r="C64002"/>
      <c r="M64002"/>
    </row>
    <row r="64003" spans="3:13" ht="12.75" customHeight="1" x14ac:dyDescent="0.2">
      <c r="C64003"/>
      <c r="M64003"/>
    </row>
    <row r="64004" spans="3:13" ht="12.75" customHeight="1" x14ac:dyDescent="0.2">
      <c r="C64004"/>
      <c r="M64004"/>
    </row>
    <row r="64005" spans="3:13" ht="12.75" customHeight="1" x14ac:dyDescent="0.2">
      <c r="C64005"/>
      <c r="M64005"/>
    </row>
    <row r="64006" spans="3:13" ht="12.75" customHeight="1" x14ac:dyDescent="0.2">
      <c r="C64006"/>
      <c r="M64006"/>
    </row>
    <row r="64007" spans="3:13" ht="12.75" customHeight="1" x14ac:dyDescent="0.2">
      <c r="C64007"/>
      <c r="M64007"/>
    </row>
    <row r="64008" spans="3:13" ht="12.75" customHeight="1" x14ac:dyDescent="0.2">
      <c r="C64008"/>
      <c r="M64008"/>
    </row>
    <row r="64009" spans="3:13" ht="12.75" customHeight="1" x14ac:dyDescent="0.2">
      <c r="C64009"/>
      <c r="M64009"/>
    </row>
    <row r="64010" spans="3:13" ht="12.75" customHeight="1" x14ac:dyDescent="0.2">
      <c r="C64010"/>
      <c r="M64010"/>
    </row>
    <row r="64011" spans="3:13" ht="12.75" customHeight="1" x14ac:dyDescent="0.2">
      <c r="C64011"/>
      <c r="M64011"/>
    </row>
    <row r="64012" spans="3:13" ht="12.75" customHeight="1" x14ac:dyDescent="0.2">
      <c r="C64012"/>
      <c r="M64012"/>
    </row>
    <row r="64013" spans="3:13" ht="12.75" customHeight="1" x14ac:dyDescent="0.2">
      <c r="C64013"/>
      <c r="M64013"/>
    </row>
    <row r="64014" spans="3:13" ht="12.75" customHeight="1" x14ac:dyDescent="0.2">
      <c r="C64014"/>
      <c r="M64014"/>
    </row>
    <row r="64015" spans="3:13" ht="12.75" customHeight="1" x14ac:dyDescent="0.2">
      <c r="C64015"/>
      <c r="M64015"/>
    </row>
    <row r="64016" spans="3:13" ht="12.75" customHeight="1" x14ac:dyDescent="0.2">
      <c r="C64016"/>
      <c r="M64016"/>
    </row>
    <row r="64017" spans="3:13" ht="12.75" customHeight="1" x14ac:dyDescent="0.2">
      <c r="C64017"/>
      <c r="M64017"/>
    </row>
    <row r="64018" spans="3:13" ht="12.75" customHeight="1" x14ac:dyDescent="0.2">
      <c r="C64018"/>
      <c r="M64018"/>
    </row>
    <row r="64019" spans="3:13" ht="12.75" customHeight="1" x14ac:dyDescent="0.2">
      <c r="C64019"/>
      <c r="M64019"/>
    </row>
    <row r="64020" spans="3:13" ht="12.75" customHeight="1" x14ac:dyDescent="0.2">
      <c r="C64020"/>
      <c r="M64020"/>
    </row>
    <row r="64021" spans="3:13" ht="12.75" customHeight="1" x14ac:dyDescent="0.2">
      <c r="C64021"/>
      <c r="M64021"/>
    </row>
    <row r="64022" spans="3:13" ht="12.75" customHeight="1" x14ac:dyDescent="0.2">
      <c r="C64022"/>
      <c r="M64022"/>
    </row>
    <row r="64023" spans="3:13" ht="12.75" customHeight="1" x14ac:dyDescent="0.2">
      <c r="C64023"/>
      <c r="M64023"/>
    </row>
    <row r="64024" spans="3:13" ht="12.75" customHeight="1" x14ac:dyDescent="0.2">
      <c r="C64024"/>
      <c r="M64024"/>
    </row>
    <row r="64025" spans="3:13" ht="12.75" customHeight="1" x14ac:dyDescent="0.2">
      <c r="C64025"/>
      <c r="M64025"/>
    </row>
    <row r="64026" spans="3:13" ht="12.75" customHeight="1" x14ac:dyDescent="0.2">
      <c r="C64026"/>
      <c r="M64026"/>
    </row>
    <row r="64027" spans="3:13" ht="12.75" customHeight="1" x14ac:dyDescent="0.2">
      <c r="C64027"/>
      <c r="M64027"/>
    </row>
    <row r="64028" spans="3:13" ht="12.75" customHeight="1" x14ac:dyDescent="0.2">
      <c r="C64028"/>
      <c r="M64028"/>
    </row>
    <row r="64029" spans="3:13" ht="12.75" customHeight="1" x14ac:dyDescent="0.2">
      <c r="C64029"/>
      <c r="M64029"/>
    </row>
    <row r="64030" spans="3:13" ht="12.75" customHeight="1" x14ac:dyDescent="0.2">
      <c r="C64030"/>
      <c r="M64030"/>
    </row>
    <row r="64031" spans="3:13" ht="12.75" customHeight="1" x14ac:dyDescent="0.2">
      <c r="C64031"/>
      <c r="M64031"/>
    </row>
    <row r="64032" spans="3:13" ht="12.75" customHeight="1" x14ac:dyDescent="0.2">
      <c r="C64032"/>
      <c r="M64032"/>
    </row>
    <row r="64033" spans="3:13" ht="12.75" customHeight="1" x14ac:dyDescent="0.2">
      <c r="C64033"/>
      <c r="M64033"/>
    </row>
    <row r="64034" spans="3:13" ht="12.75" customHeight="1" x14ac:dyDescent="0.2">
      <c r="C64034"/>
      <c r="M64034"/>
    </row>
    <row r="64035" spans="3:13" ht="12.75" customHeight="1" x14ac:dyDescent="0.2">
      <c r="C64035"/>
      <c r="M64035"/>
    </row>
    <row r="64036" spans="3:13" ht="12.75" customHeight="1" x14ac:dyDescent="0.2">
      <c r="C64036"/>
      <c r="M64036"/>
    </row>
    <row r="64037" spans="3:13" ht="12.75" customHeight="1" x14ac:dyDescent="0.2">
      <c r="C64037"/>
      <c r="M64037"/>
    </row>
    <row r="64038" spans="3:13" ht="12.75" customHeight="1" x14ac:dyDescent="0.2">
      <c r="C64038"/>
      <c r="M64038"/>
    </row>
    <row r="64039" spans="3:13" ht="12.75" customHeight="1" x14ac:dyDescent="0.2">
      <c r="C64039"/>
      <c r="M64039"/>
    </row>
    <row r="64040" spans="3:13" ht="12.75" customHeight="1" x14ac:dyDescent="0.2">
      <c r="C64040"/>
      <c r="M64040"/>
    </row>
    <row r="64041" spans="3:13" ht="12.75" customHeight="1" x14ac:dyDescent="0.2">
      <c r="C64041"/>
      <c r="M64041"/>
    </row>
    <row r="64042" spans="3:13" ht="12.75" customHeight="1" x14ac:dyDescent="0.2">
      <c r="C64042"/>
      <c r="M64042"/>
    </row>
    <row r="64043" spans="3:13" ht="12.75" customHeight="1" x14ac:dyDescent="0.2">
      <c r="C64043"/>
      <c r="M64043"/>
    </row>
    <row r="64044" spans="3:13" ht="12.75" customHeight="1" x14ac:dyDescent="0.2">
      <c r="C64044"/>
      <c r="M64044"/>
    </row>
    <row r="64045" spans="3:13" ht="12.75" customHeight="1" x14ac:dyDescent="0.2">
      <c r="C64045"/>
      <c r="M64045"/>
    </row>
    <row r="64046" spans="3:13" ht="12.75" customHeight="1" x14ac:dyDescent="0.2">
      <c r="C64046"/>
      <c r="M64046"/>
    </row>
    <row r="64047" spans="3:13" ht="12.75" customHeight="1" x14ac:dyDescent="0.2">
      <c r="C64047"/>
      <c r="M64047"/>
    </row>
    <row r="64048" spans="3:13" ht="12.75" customHeight="1" x14ac:dyDescent="0.2">
      <c r="C64048"/>
      <c r="M64048"/>
    </row>
    <row r="64049" spans="3:13" ht="12.75" customHeight="1" x14ac:dyDescent="0.2">
      <c r="C64049"/>
      <c r="M64049"/>
    </row>
    <row r="64050" spans="3:13" ht="12.75" customHeight="1" x14ac:dyDescent="0.2">
      <c r="C64050"/>
      <c r="M64050"/>
    </row>
    <row r="64051" spans="3:13" ht="12.75" customHeight="1" x14ac:dyDescent="0.2">
      <c r="C64051"/>
      <c r="M64051"/>
    </row>
    <row r="64052" spans="3:13" ht="12.75" customHeight="1" x14ac:dyDescent="0.2">
      <c r="C64052"/>
      <c r="M64052"/>
    </row>
    <row r="64053" spans="3:13" ht="12.75" customHeight="1" x14ac:dyDescent="0.2">
      <c r="C64053"/>
      <c r="M64053"/>
    </row>
    <row r="64054" spans="3:13" ht="12.75" customHeight="1" x14ac:dyDescent="0.2">
      <c r="C64054"/>
      <c r="M64054"/>
    </row>
    <row r="64055" spans="3:13" ht="12.75" customHeight="1" x14ac:dyDescent="0.2">
      <c r="C64055"/>
      <c r="M64055"/>
    </row>
    <row r="64056" spans="3:13" ht="12.75" customHeight="1" x14ac:dyDescent="0.2">
      <c r="C64056"/>
      <c r="M64056"/>
    </row>
    <row r="64057" spans="3:13" ht="12.75" customHeight="1" x14ac:dyDescent="0.2">
      <c r="C64057"/>
      <c r="M64057"/>
    </row>
    <row r="64058" spans="3:13" ht="12.75" customHeight="1" x14ac:dyDescent="0.2">
      <c r="C64058"/>
      <c r="M64058"/>
    </row>
    <row r="64059" spans="3:13" ht="12.75" customHeight="1" x14ac:dyDescent="0.2">
      <c r="C64059"/>
      <c r="M64059"/>
    </row>
    <row r="64060" spans="3:13" ht="12.75" customHeight="1" x14ac:dyDescent="0.2">
      <c r="C64060"/>
      <c r="M64060"/>
    </row>
    <row r="64061" spans="3:13" ht="12.75" customHeight="1" x14ac:dyDescent="0.2">
      <c r="C64061"/>
      <c r="M64061"/>
    </row>
    <row r="64062" spans="3:13" ht="12.75" customHeight="1" x14ac:dyDescent="0.2">
      <c r="C64062"/>
      <c r="M64062"/>
    </row>
    <row r="64063" spans="3:13" ht="12.75" customHeight="1" x14ac:dyDescent="0.2">
      <c r="C64063"/>
      <c r="M64063"/>
    </row>
    <row r="64064" spans="3:13" ht="12.75" customHeight="1" x14ac:dyDescent="0.2">
      <c r="C64064"/>
      <c r="M64064"/>
    </row>
    <row r="64065" spans="3:13" ht="12.75" customHeight="1" x14ac:dyDescent="0.2">
      <c r="C64065"/>
      <c r="M64065"/>
    </row>
    <row r="64066" spans="3:13" ht="12.75" customHeight="1" x14ac:dyDescent="0.2">
      <c r="C64066"/>
      <c r="M64066"/>
    </row>
    <row r="64067" spans="3:13" ht="12.75" customHeight="1" x14ac:dyDescent="0.2">
      <c r="C64067"/>
      <c r="M64067"/>
    </row>
    <row r="64068" spans="3:13" ht="12.75" customHeight="1" x14ac:dyDescent="0.2">
      <c r="C64068"/>
      <c r="M64068"/>
    </row>
    <row r="64069" spans="3:13" ht="12.75" customHeight="1" x14ac:dyDescent="0.2">
      <c r="C64069"/>
      <c r="M64069"/>
    </row>
    <row r="64070" spans="3:13" ht="12.75" customHeight="1" x14ac:dyDescent="0.2">
      <c r="C64070"/>
      <c r="M64070"/>
    </row>
    <row r="64071" spans="3:13" ht="12.75" customHeight="1" x14ac:dyDescent="0.2">
      <c r="C64071"/>
      <c r="M64071"/>
    </row>
    <row r="64072" spans="3:13" ht="12.75" customHeight="1" x14ac:dyDescent="0.2">
      <c r="C64072"/>
      <c r="M64072"/>
    </row>
    <row r="64073" spans="3:13" ht="12.75" customHeight="1" x14ac:dyDescent="0.2">
      <c r="C64073"/>
      <c r="M64073"/>
    </row>
    <row r="64074" spans="3:13" ht="12.75" customHeight="1" x14ac:dyDescent="0.2">
      <c r="C64074"/>
      <c r="M64074"/>
    </row>
    <row r="64075" spans="3:13" ht="12.75" customHeight="1" x14ac:dyDescent="0.2">
      <c r="C64075"/>
      <c r="M64075"/>
    </row>
    <row r="64076" spans="3:13" ht="12.75" customHeight="1" x14ac:dyDescent="0.2">
      <c r="C64076"/>
      <c r="M64076"/>
    </row>
    <row r="64077" spans="3:13" ht="12.75" customHeight="1" x14ac:dyDescent="0.2">
      <c r="C64077"/>
      <c r="M64077"/>
    </row>
    <row r="64078" spans="3:13" ht="12.75" customHeight="1" x14ac:dyDescent="0.2">
      <c r="C64078"/>
      <c r="M64078"/>
    </row>
    <row r="64079" spans="3:13" ht="12.75" customHeight="1" x14ac:dyDescent="0.2">
      <c r="C64079"/>
      <c r="M64079"/>
    </row>
    <row r="64080" spans="3:13" ht="12.75" customHeight="1" x14ac:dyDescent="0.2">
      <c r="C64080"/>
      <c r="M64080"/>
    </row>
    <row r="64081" spans="3:13" ht="12.75" customHeight="1" x14ac:dyDescent="0.2">
      <c r="C64081"/>
      <c r="M64081"/>
    </row>
    <row r="64082" spans="3:13" ht="12.75" customHeight="1" x14ac:dyDescent="0.2">
      <c r="C64082"/>
      <c r="M64082"/>
    </row>
    <row r="64083" spans="3:13" ht="12.75" customHeight="1" x14ac:dyDescent="0.2">
      <c r="C64083"/>
      <c r="M64083"/>
    </row>
    <row r="64084" spans="3:13" ht="12.75" customHeight="1" x14ac:dyDescent="0.2">
      <c r="C64084"/>
      <c r="M64084"/>
    </row>
    <row r="64085" spans="3:13" ht="12.75" customHeight="1" x14ac:dyDescent="0.2">
      <c r="C64085"/>
      <c r="M64085"/>
    </row>
    <row r="64086" spans="3:13" ht="12.75" customHeight="1" x14ac:dyDescent="0.2">
      <c r="C64086"/>
      <c r="M64086"/>
    </row>
    <row r="64087" spans="3:13" ht="12.75" customHeight="1" x14ac:dyDescent="0.2">
      <c r="C64087"/>
      <c r="M64087"/>
    </row>
    <row r="64088" spans="3:13" ht="12.75" customHeight="1" x14ac:dyDescent="0.2">
      <c r="C64088"/>
      <c r="M64088"/>
    </row>
    <row r="64089" spans="3:13" ht="12.75" customHeight="1" x14ac:dyDescent="0.2">
      <c r="C64089"/>
      <c r="M64089"/>
    </row>
    <row r="64090" spans="3:13" ht="12.75" customHeight="1" x14ac:dyDescent="0.2">
      <c r="C64090"/>
      <c r="M64090"/>
    </row>
    <row r="64091" spans="3:13" ht="12.75" customHeight="1" x14ac:dyDescent="0.2">
      <c r="C64091"/>
      <c r="M64091"/>
    </row>
    <row r="64092" spans="3:13" ht="12.75" customHeight="1" x14ac:dyDescent="0.2">
      <c r="C64092"/>
      <c r="M64092"/>
    </row>
    <row r="64093" spans="3:13" ht="12.75" customHeight="1" x14ac:dyDescent="0.2">
      <c r="C64093"/>
      <c r="M64093"/>
    </row>
    <row r="64094" spans="3:13" ht="12.75" customHeight="1" x14ac:dyDescent="0.2">
      <c r="C64094"/>
      <c r="M64094"/>
    </row>
    <row r="64095" spans="3:13" ht="12.75" customHeight="1" x14ac:dyDescent="0.2">
      <c r="C64095"/>
      <c r="M64095"/>
    </row>
    <row r="64096" spans="3:13" ht="12.75" customHeight="1" x14ac:dyDescent="0.2">
      <c r="C64096"/>
      <c r="M64096"/>
    </row>
    <row r="64097" spans="3:13" ht="12.75" customHeight="1" x14ac:dyDescent="0.2">
      <c r="C64097"/>
      <c r="M64097"/>
    </row>
    <row r="64098" spans="3:13" ht="12.75" customHeight="1" x14ac:dyDescent="0.2">
      <c r="C64098"/>
      <c r="M64098"/>
    </row>
    <row r="64099" spans="3:13" ht="12.75" customHeight="1" x14ac:dyDescent="0.2">
      <c r="C64099"/>
      <c r="M64099"/>
    </row>
    <row r="64100" spans="3:13" ht="12.75" customHeight="1" x14ac:dyDescent="0.2">
      <c r="C64100"/>
      <c r="M64100"/>
    </row>
    <row r="64101" spans="3:13" ht="12.75" customHeight="1" x14ac:dyDescent="0.2">
      <c r="C64101"/>
      <c r="M64101"/>
    </row>
    <row r="64102" spans="3:13" ht="12.75" customHeight="1" x14ac:dyDescent="0.2">
      <c r="C64102"/>
      <c r="M64102"/>
    </row>
    <row r="64103" spans="3:13" ht="12.75" customHeight="1" x14ac:dyDescent="0.2">
      <c r="C64103"/>
      <c r="M64103"/>
    </row>
    <row r="64104" spans="3:13" ht="12.75" customHeight="1" x14ac:dyDescent="0.2">
      <c r="C64104"/>
      <c r="M64104"/>
    </row>
    <row r="64105" spans="3:13" ht="12.75" customHeight="1" x14ac:dyDescent="0.2">
      <c r="C64105"/>
      <c r="M64105"/>
    </row>
    <row r="64106" spans="3:13" ht="12.75" customHeight="1" x14ac:dyDescent="0.2">
      <c r="C64106"/>
      <c r="M64106"/>
    </row>
    <row r="64107" spans="3:13" ht="12.75" customHeight="1" x14ac:dyDescent="0.2">
      <c r="C64107"/>
      <c r="M64107"/>
    </row>
    <row r="64108" spans="3:13" ht="12.75" customHeight="1" x14ac:dyDescent="0.2">
      <c r="C64108"/>
      <c r="M64108"/>
    </row>
    <row r="64109" spans="3:13" ht="12.75" customHeight="1" x14ac:dyDescent="0.2">
      <c r="C64109"/>
      <c r="M64109"/>
    </row>
    <row r="64110" spans="3:13" ht="12.75" customHeight="1" x14ac:dyDescent="0.2">
      <c r="C64110"/>
      <c r="M64110"/>
    </row>
    <row r="64111" spans="3:13" ht="12.75" customHeight="1" x14ac:dyDescent="0.2">
      <c r="C64111"/>
      <c r="M64111"/>
    </row>
    <row r="64112" spans="3:13" ht="12.75" customHeight="1" x14ac:dyDescent="0.2">
      <c r="C64112"/>
      <c r="M64112"/>
    </row>
    <row r="64113" spans="3:13" ht="12.75" customHeight="1" x14ac:dyDescent="0.2">
      <c r="C64113"/>
      <c r="M64113"/>
    </row>
    <row r="64114" spans="3:13" ht="12.75" customHeight="1" x14ac:dyDescent="0.2">
      <c r="C64114"/>
      <c r="M64114"/>
    </row>
    <row r="64115" spans="3:13" ht="12.75" customHeight="1" x14ac:dyDescent="0.2">
      <c r="C64115"/>
      <c r="M64115"/>
    </row>
    <row r="64116" spans="3:13" ht="12.75" customHeight="1" x14ac:dyDescent="0.2">
      <c r="C64116"/>
      <c r="M64116"/>
    </row>
    <row r="64117" spans="3:13" ht="12.75" customHeight="1" x14ac:dyDescent="0.2">
      <c r="C64117"/>
      <c r="M64117"/>
    </row>
    <row r="64118" spans="3:13" ht="12.75" customHeight="1" x14ac:dyDescent="0.2">
      <c r="C64118"/>
      <c r="M64118"/>
    </row>
    <row r="64119" spans="3:13" ht="12.75" customHeight="1" x14ac:dyDescent="0.2">
      <c r="C64119"/>
      <c r="M64119"/>
    </row>
    <row r="64120" spans="3:13" ht="12.75" customHeight="1" x14ac:dyDescent="0.2">
      <c r="C64120"/>
      <c r="M64120"/>
    </row>
    <row r="64121" spans="3:13" ht="12.75" customHeight="1" x14ac:dyDescent="0.2">
      <c r="C64121"/>
      <c r="M64121"/>
    </row>
    <row r="64122" spans="3:13" ht="12.75" customHeight="1" x14ac:dyDescent="0.2">
      <c r="C64122"/>
      <c r="M64122"/>
    </row>
    <row r="64123" spans="3:13" ht="12.75" customHeight="1" x14ac:dyDescent="0.2">
      <c r="C64123"/>
      <c r="M64123"/>
    </row>
    <row r="64124" spans="3:13" ht="12.75" customHeight="1" x14ac:dyDescent="0.2">
      <c r="C64124"/>
      <c r="M64124"/>
    </row>
    <row r="64125" spans="3:13" ht="12.75" customHeight="1" x14ac:dyDescent="0.2">
      <c r="C64125"/>
      <c r="M64125"/>
    </row>
    <row r="64126" spans="3:13" ht="12.75" customHeight="1" x14ac:dyDescent="0.2">
      <c r="C64126"/>
      <c r="M64126"/>
    </row>
    <row r="64127" spans="3:13" ht="12.75" customHeight="1" x14ac:dyDescent="0.2">
      <c r="C64127"/>
      <c r="M64127"/>
    </row>
    <row r="64128" spans="3:13" ht="12.75" customHeight="1" x14ac:dyDescent="0.2">
      <c r="C64128"/>
      <c r="M64128"/>
    </row>
    <row r="64129" spans="3:13" ht="12.75" customHeight="1" x14ac:dyDescent="0.2">
      <c r="C64129"/>
      <c r="M64129"/>
    </row>
    <row r="64130" spans="3:13" ht="12.75" customHeight="1" x14ac:dyDescent="0.2">
      <c r="C64130"/>
      <c r="M64130"/>
    </row>
    <row r="64131" spans="3:13" ht="12.75" customHeight="1" x14ac:dyDescent="0.2">
      <c r="C64131"/>
      <c r="M64131"/>
    </row>
    <row r="64132" spans="3:13" ht="12.75" customHeight="1" x14ac:dyDescent="0.2">
      <c r="C64132"/>
      <c r="M64132"/>
    </row>
    <row r="64133" spans="3:13" ht="12.75" customHeight="1" x14ac:dyDescent="0.2">
      <c r="C64133"/>
      <c r="M64133"/>
    </row>
    <row r="64134" spans="3:13" ht="12.75" customHeight="1" x14ac:dyDescent="0.2">
      <c r="C64134"/>
      <c r="M64134"/>
    </row>
    <row r="64135" spans="3:13" ht="12.75" customHeight="1" x14ac:dyDescent="0.2">
      <c r="C64135"/>
      <c r="M64135"/>
    </row>
    <row r="64136" spans="3:13" ht="12.75" customHeight="1" x14ac:dyDescent="0.2">
      <c r="C64136"/>
      <c r="M64136"/>
    </row>
    <row r="64137" spans="3:13" ht="12.75" customHeight="1" x14ac:dyDescent="0.2">
      <c r="C64137"/>
      <c r="M64137"/>
    </row>
    <row r="64138" spans="3:13" ht="12.75" customHeight="1" x14ac:dyDescent="0.2">
      <c r="C64138"/>
      <c r="M64138"/>
    </row>
    <row r="64139" spans="3:13" ht="12.75" customHeight="1" x14ac:dyDescent="0.2">
      <c r="C64139"/>
      <c r="M64139"/>
    </row>
    <row r="64140" spans="3:13" ht="12.75" customHeight="1" x14ac:dyDescent="0.2">
      <c r="C64140"/>
      <c r="M64140"/>
    </row>
    <row r="64141" spans="3:13" ht="12.75" customHeight="1" x14ac:dyDescent="0.2">
      <c r="C64141"/>
      <c r="M64141"/>
    </row>
    <row r="64142" spans="3:13" ht="12.75" customHeight="1" x14ac:dyDescent="0.2">
      <c r="C64142"/>
      <c r="M64142"/>
    </row>
    <row r="64143" spans="3:13" ht="12.75" customHeight="1" x14ac:dyDescent="0.2">
      <c r="C64143"/>
      <c r="M64143"/>
    </row>
    <row r="64144" spans="3:13" ht="12.75" customHeight="1" x14ac:dyDescent="0.2">
      <c r="C64144"/>
      <c r="M64144"/>
    </row>
    <row r="64145" spans="3:13" ht="12.75" customHeight="1" x14ac:dyDescent="0.2">
      <c r="C64145"/>
      <c r="M64145"/>
    </row>
    <row r="64146" spans="3:13" ht="12.75" customHeight="1" x14ac:dyDescent="0.2">
      <c r="C64146"/>
      <c r="M64146"/>
    </row>
    <row r="64147" spans="3:13" ht="12.75" customHeight="1" x14ac:dyDescent="0.2">
      <c r="C64147"/>
      <c r="M64147"/>
    </row>
    <row r="64148" spans="3:13" ht="12.75" customHeight="1" x14ac:dyDescent="0.2">
      <c r="C64148"/>
      <c r="M64148"/>
    </row>
    <row r="64149" spans="3:13" ht="12.75" customHeight="1" x14ac:dyDescent="0.2">
      <c r="C64149"/>
      <c r="M64149"/>
    </row>
    <row r="64150" spans="3:13" ht="12.75" customHeight="1" x14ac:dyDescent="0.2">
      <c r="C64150"/>
      <c r="M64150"/>
    </row>
    <row r="64151" spans="3:13" ht="12.75" customHeight="1" x14ac:dyDescent="0.2">
      <c r="C64151"/>
      <c r="M64151"/>
    </row>
    <row r="64152" spans="3:13" ht="12.75" customHeight="1" x14ac:dyDescent="0.2">
      <c r="C64152"/>
      <c r="M64152"/>
    </row>
    <row r="64153" spans="3:13" ht="12.75" customHeight="1" x14ac:dyDescent="0.2">
      <c r="C64153"/>
      <c r="M64153"/>
    </row>
    <row r="64154" spans="3:13" ht="12.75" customHeight="1" x14ac:dyDescent="0.2">
      <c r="C64154"/>
      <c r="M64154"/>
    </row>
    <row r="64155" spans="3:13" ht="12.75" customHeight="1" x14ac:dyDescent="0.2">
      <c r="C64155"/>
      <c r="M64155"/>
    </row>
    <row r="64156" spans="3:13" ht="12.75" customHeight="1" x14ac:dyDescent="0.2">
      <c r="C64156"/>
      <c r="M64156"/>
    </row>
    <row r="64157" spans="3:13" ht="12.75" customHeight="1" x14ac:dyDescent="0.2">
      <c r="C64157"/>
      <c r="M64157"/>
    </row>
    <row r="64158" spans="3:13" ht="12.75" customHeight="1" x14ac:dyDescent="0.2">
      <c r="C64158"/>
      <c r="M64158"/>
    </row>
    <row r="64159" spans="3:13" ht="12.75" customHeight="1" x14ac:dyDescent="0.2">
      <c r="C64159"/>
      <c r="M64159"/>
    </row>
    <row r="64160" spans="3:13" ht="12.75" customHeight="1" x14ac:dyDescent="0.2">
      <c r="C64160"/>
      <c r="M64160"/>
    </row>
    <row r="64161" spans="3:13" ht="12.75" customHeight="1" x14ac:dyDescent="0.2">
      <c r="C64161"/>
      <c r="M64161"/>
    </row>
    <row r="64162" spans="3:13" ht="12.75" customHeight="1" x14ac:dyDescent="0.2">
      <c r="C64162"/>
      <c r="M64162"/>
    </row>
    <row r="64163" spans="3:13" ht="12.75" customHeight="1" x14ac:dyDescent="0.2">
      <c r="C64163"/>
      <c r="M64163"/>
    </row>
    <row r="64164" spans="3:13" ht="12.75" customHeight="1" x14ac:dyDescent="0.2">
      <c r="C64164"/>
      <c r="M64164"/>
    </row>
    <row r="64165" spans="3:13" ht="12.75" customHeight="1" x14ac:dyDescent="0.2">
      <c r="C64165"/>
      <c r="M64165"/>
    </row>
    <row r="64166" spans="3:13" ht="12.75" customHeight="1" x14ac:dyDescent="0.2">
      <c r="C64166"/>
      <c r="M64166"/>
    </row>
    <row r="64167" spans="3:13" ht="12.75" customHeight="1" x14ac:dyDescent="0.2">
      <c r="C64167"/>
      <c r="M64167"/>
    </row>
    <row r="64168" spans="3:13" ht="12.75" customHeight="1" x14ac:dyDescent="0.2">
      <c r="C64168"/>
      <c r="M64168"/>
    </row>
    <row r="64169" spans="3:13" ht="12.75" customHeight="1" x14ac:dyDescent="0.2">
      <c r="C64169"/>
      <c r="M64169"/>
    </row>
    <row r="64170" spans="3:13" ht="12.75" customHeight="1" x14ac:dyDescent="0.2">
      <c r="C64170"/>
      <c r="M64170"/>
    </row>
    <row r="64171" spans="3:13" ht="12.75" customHeight="1" x14ac:dyDescent="0.2">
      <c r="C64171"/>
      <c r="M64171"/>
    </row>
    <row r="64172" spans="3:13" ht="12.75" customHeight="1" x14ac:dyDescent="0.2">
      <c r="C64172"/>
      <c r="M64172"/>
    </row>
    <row r="64173" spans="3:13" ht="12.75" customHeight="1" x14ac:dyDescent="0.2">
      <c r="C64173"/>
      <c r="M64173"/>
    </row>
    <row r="64174" spans="3:13" ht="12.75" customHeight="1" x14ac:dyDescent="0.2">
      <c r="C64174"/>
      <c r="M64174"/>
    </row>
    <row r="64175" spans="3:13" ht="12.75" customHeight="1" x14ac:dyDescent="0.2">
      <c r="C64175"/>
      <c r="M64175"/>
    </row>
    <row r="64176" spans="3:13" ht="12.75" customHeight="1" x14ac:dyDescent="0.2">
      <c r="C64176"/>
      <c r="M64176"/>
    </row>
    <row r="64177" spans="3:13" ht="12.75" customHeight="1" x14ac:dyDescent="0.2">
      <c r="C64177"/>
      <c r="M64177"/>
    </row>
    <row r="64178" spans="3:13" ht="12.75" customHeight="1" x14ac:dyDescent="0.2">
      <c r="C64178"/>
      <c r="M64178"/>
    </row>
    <row r="64179" spans="3:13" ht="12.75" customHeight="1" x14ac:dyDescent="0.2">
      <c r="C64179"/>
      <c r="M64179"/>
    </row>
    <row r="64180" spans="3:13" ht="12.75" customHeight="1" x14ac:dyDescent="0.2">
      <c r="C64180"/>
      <c r="M64180"/>
    </row>
    <row r="64181" spans="3:13" ht="12.75" customHeight="1" x14ac:dyDescent="0.2">
      <c r="C64181"/>
      <c r="M64181"/>
    </row>
    <row r="64182" spans="3:13" ht="12.75" customHeight="1" x14ac:dyDescent="0.2">
      <c r="C64182"/>
      <c r="M64182"/>
    </row>
    <row r="64183" spans="3:13" ht="12.75" customHeight="1" x14ac:dyDescent="0.2">
      <c r="C64183"/>
      <c r="M64183"/>
    </row>
    <row r="64184" spans="3:13" ht="12.75" customHeight="1" x14ac:dyDescent="0.2">
      <c r="C64184"/>
      <c r="M64184"/>
    </row>
    <row r="64185" spans="3:13" ht="12.75" customHeight="1" x14ac:dyDescent="0.2">
      <c r="C64185"/>
      <c r="M64185"/>
    </row>
    <row r="64186" spans="3:13" ht="12.75" customHeight="1" x14ac:dyDescent="0.2">
      <c r="C64186"/>
      <c r="M64186"/>
    </row>
    <row r="64187" spans="3:13" ht="12.75" customHeight="1" x14ac:dyDescent="0.2">
      <c r="C64187"/>
      <c r="M64187"/>
    </row>
    <row r="64188" spans="3:13" ht="12.75" customHeight="1" x14ac:dyDescent="0.2">
      <c r="C64188"/>
      <c r="M64188"/>
    </row>
    <row r="64189" spans="3:13" ht="12.75" customHeight="1" x14ac:dyDescent="0.2">
      <c r="C64189"/>
      <c r="M64189"/>
    </row>
    <row r="64190" spans="3:13" ht="12.75" customHeight="1" x14ac:dyDescent="0.2">
      <c r="C64190"/>
      <c r="M64190"/>
    </row>
    <row r="64191" spans="3:13" ht="12.75" customHeight="1" x14ac:dyDescent="0.2">
      <c r="C64191"/>
      <c r="M64191"/>
    </row>
    <row r="64192" spans="3:13" ht="12.75" customHeight="1" x14ac:dyDescent="0.2">
      <c r="C64192"/>
      <c r="M64192"/>
    </row>
    <row r="64193" spans="3:13" ht="12.75" customHeight="1" x14ac:dyDescent="0.2">
      <c r="C64193"/>
      <c r="M64193"/>
    </row>
    <row r="64194" spans="3:13" ht="12.75" customHeight="1" x14ac:dyDescent="0.2">
      <c r="C64194"/>
      <c r="M64194"/>
    </row>
    <row r="64195" spans="3:13" ht="12.75" customHeight="1" x14ac:dyDescent="0.2">
      <c r="C64195"/>
      <c r="M64195"/>
    </row>
    <row r="64196" spans="3:13" ht="12.75" customHeight="1" x14ac:dyDescent="0.2">
      <c r="C64196"/>
      <c r="M64196"/>
    </row>
    <row r="64197" spans="3:13" ht="12.75" customHeight="1" x14ac:dyDescent="0.2">
      <c r="C64197"/>
      <c r="M64197"/>
    </row>
    <row r="64198" spans="3:13" ht="12.75" customHeight="1" x14ac:dyDescent="0.2">
      <c r="C64198"/>
      <c r="M64198"/>
    </row>
    <row r="64199" spans="3:13" ht="12.75" customHeight="1" x14ac:dyDescent="0.2">
      <c r="C64199"/>
      <c r="M64199"/>
    </row>
    <row r="64200" spans="3:13" ht="12.75" customHeight="1" x14ac:dyDescent="0.2">
      <c r="C64200"/>
      <c r="M64200"/>
    </row>
    <row r="64201" spans="3:13" ht="12.75" customHeight="1" x14ac:dyDescent="0.2">
      <c r="C64201"/>
      <c r="M64201"/>
    </row>
    <row r="64202" spans="3:13" ht="12.75" customHeight="1" x14ac:dyDescent="0.2">
      <c r="C64202"/>
      <c r="M64202"/>
    </row>
    <row r="64203" spans="3:13" ht="12.75" customHeight="1" x14ac:dyDescent="0.2">
      <c r="C64203"/>
      <c r="M64203"/>
    </row>
    <row r="64204" spans="3:13" ht="12.75" customHeight="1" x14ac:dyDescent="0.2">
      <c r="C64204"/>
      <c r="M64204"/>
    </row>
    <row r="64205" spans="3:13" ht="12.75" customHeight="1" x14ac:dyDescent="0.2">
      <c r="C64205"/>
      <c r="M64205"/>
    </row>
    <row r="64206" spans="3:13" ht="12.75" customHeight="1" x14ac:dyDescent="0.2">
      <c r="C64206"/>
      <c r="M64206"/>
    </row>
    <row r="64207" spans="3:13" ht="12.75" customHeight="1" x14ac:dyDescent="0.2">
      <c r="C64207"/>
      <c r="M64207"/>
    </row>
    <row r="64208" spans="3:13" ht="12.75" customHeight="1" x14ac:dyDescent="0.2">
      <c r="C64208"/>
      <c r="M64208"/>
    </row>
    <row r="64209" spans="3:13" ht="12.75" customHeight="1" x14ac:dyDescent="0.2">
      <c r="C64209"/>
      <c r="M64209"/>
    </row>
    <row r="64210" spans="3:13" ht="12.75" customHeight="1" x14ac:dyDescent="0.2">
      <c r="C64210"/>
      <c r="M64210"/>
    </row>
    <row r="64211" spans="3:13" ht="12.75" customHeight="1" x14ac:dyDescent="0.2">
      <c r="C64211"/>
      <c r="M64211"/>
    </row>
    <row r="64212" spans="3:13" ht="12.75" customHeight="1" x14ac:dyDescent="0.2">
      <c r="C64212"/>
      <c r="M64212"/>
    </row>
    <row r="64213" spans="3:13" ht="12.75" customHeight="1" x14ac:dyDescent="0.2">
      <c r="C64213"/>
      <c r="M64213"/>
    </row>
    <row r="64214" spans="3:13" ht="12.75" customHeight="1" x14ac:dyDescent="0.2">
      <c r="C64214"/>
      <c r="M64214"/>
    </row>
    <row r="64215" spans="3:13" ht="12.75" customHeight="1" x14ac:dyDescent="0.2">
      <c r="C64215"/>
      <c r="M64215"/>
    </row>
    <row r="64216" spans="3:13" ht="12.75" customHeight="1" x14ac:dyDescent="0.2">
      <c r="C64216"/>
      <c r="M64216"/>
    </row>
    <row r="64217" spans="3:13" ht="12.75" customHeight="1" x14ac:dyDescent="0.2">
      <c r="C64217"/>
      <c r="M64217"/>
    </row>
    <row r="64218" spans="3:13" ht="12.75" customHeight="1" x14ac:dyDescent="0.2">
      <c r="C64218"/>
      <c r="M64218"/>
    </row>
    <row r="64219" spans="3:13" ht="12.75" customHeight="1" x14ac:dyDescent="0.2">
      <c r="C64219"/>
      <c r="M64219"/>
    </row>
    <row r="64220" spans="3:13" ht="12.75" customHeight="1" x14ac:dyDescent="0.2">
      <c r="C64220"/>
      <c r="M64220"/>
    </row>
    <row r="64221" spans="3:13" ht="12.75" customHeight="1" x14ac:dyDescent="0.2">
      <c r="C64221"/>
      <c r="M64221"/>
    </row>
    <row r="64222" spans="3:13" ht="12.75" customHeight="1" x14ac:dyDescent="0.2">
      <c r="C64222"/>
      <c r="M64222"/>
    </row>
    <row r="64223" spans="3:13" ht="12.75" customHeight="1" x14ac:dyDescent="0.2">
      <c r="C64223"/>
      <c r="M64223"/>
    </row>
    <row r="64224" spans="3:13" ht="12.75" customHeight="1" x14ac:dyDescent="0.2">
      <c r="C64224"/>
      <c r="M64224"/>
    </row>
    <row r="64225" spans="3:13" ht="12.75" customHeight="1" x14ac:dyDescent="0.2">
      <c r="C64225"/>
      <c r="M64225"/>
    </row>
    <row r="64226" spans="3:13" ht="12.75" customHeight="1" x14ac:dyDescent="0.2">
      <c r="C64226"/>
      <c r="M64226"/>
    </row>
    <row r="64227" spans="3:13" ht="12.75" customHeight="1" x14ac:dyDescent="0.2">
      <c r="C64227"/>
      <c r="M64227"/>
    </row>
    <row r="64228" spans="3:13" ht="12.75" customHeight="1" x14ac:dyDescent="0.2">
      <c r="C64228"/>
      <c r="M64228"/>
    </row>
    <row r="64229" spans="3:13" ht="12.75" customHeight="1" x14ac:dyDescent="0.2">
      <c r="C64229"/>
      <c r="M64229"/>
    </row>
    <row r="64230" spans="3:13" ht="12.75" customHeight="1" x14ac:dyDescent="0.2">
      <c r="C64230"/>
      <c r="M64230"/>
    </row>
    <row r="64231" spans="3:13" ht="12.75" customHeight="1" x14ac:dyDescent="0.2">
      <c r="C64231"/>
      <c r="M64231"/>
    </row>
    <row r="64232" spans="3:13" ht="12.75" customHeight="1" x14ac:dyDescent="0.2">
      <c r="C64232"/>
      <c r="M64232"/>
    </row>
    <row r="64233" spans="3:13" ht="12.75" customHeight="1" x14ac:dyDescent="0.2">
      <c r="C64233"/>
      <c r="M64233"/>
    </row>
    <row r="64234" spans="3:13" ht="12.75" customHeight="1" x14ac:dyDescent="0.2">
      <c r="C64234"/>
      <c r="M64234"/>
    </row>
    <row r="64235" spans="3:13" ht="12.75" customHeight="1" x14ac:dyDescent="0.2">
      <c r="C64235"/>
      <c r="M64235"/>
    </row>
    <row r="64236" spans="3:13" ht="12.75" customHeight="1" x14ac:dyDescent="0.2">
      <c r="C64236"/>
      <c r="M64236"/>
    </row>
    <row r="64237" spans="3:13" ht="12.75" customHeight="1" x14ac:dyDescent="0.2">
      <c r="C64237"/>
      <c r="M64237"/>
    </row>
    <row r="64238" spans="3:13" ht="12.75" customHeight="1" x14ac:dyDescent="0.2">
      <c r="C64238"/>
      <c r="M64238"/>
    </row>
    <row r="64239" spans="3:13" ht="12.75" customHeight="1" x14ac:dyDescent="0.2">
      <c r="C64239"/>
      <c r="M64239"/>
    </row>
    <row r="64240" spans="3:13" ht="12.75" customHeight="1" x14ac:dyDescent="0.2">
      <c r="C64240"/>
      <c r="M64240"/>
    </row>
    <row r="64241" spans="3:13" ht="12.75" customHeight="1" x14ac:dyDescent="0.2">
      <c r="C64241"/>
      <c r="M64241"/>
    </row>
    <row r="64242" spans="3:13" ht="12.75" customHeight="1" x14ac:dyDescent="0.2">
      <c r="C64242"/>
      <c r="M64242"/>
    </row>
    <row r="64243" spans="3:13" ht="12.75" customHeight="1" x14ac:dyDescent="0.2">
      <c r="C64243"/>
      <c r="M64243"/>
    </row>
    <row r="64244" spans="3:13" ht="12.75" customHeight="1" x14ac:dyDescent="0.2">
      <c r="C64244"/>
      <c r="M64244"/>
    </row>
    <row r="64245" spans="3:13" ht="12.75" customHeight="1" x14ac:dyDescent="0.2">
      <c r="C64245"/>
      <c r="M64245"/>
    </row>
    <row r="64246" spans="3:13" ht="12.75" customHeight="1" x14ac:dyDescent="0.2">
      <c r="C64246"/>
      <c r="M64246"/>
    </row>
    <row r="64247" spans="3:13" ht="12.75" customHeight="1" x14ac:dyDescent="0.2">
      <c r="C64247"/>
      <c r="M64247"/>
    </row>
    <row r="64248" spans="3:13" ht="12.75" customHeight="1" x14ac:dyDescent="0.2">
      <c r="C64248"/>
      <c r="M64248"/>
    </row>
    <row r="64249" spans="3:13" ht="12.75" customHeight="1" x14ac:dyDescent="0.2">
      <c r="C64249"/>
      <c r="M64249"/>
    </row>
    <row r="64250" spans="3:13" ht="12.75" customHeight="1" x14ac:dyDescent="0.2">
      <c r="C64250"/>
      <c r="M64250"/>
    </row>
    <row r="64251" spans="3:13" ht="12.75" customHeight="1" x14ac:dyDescent="0.2">
      <c r="C64251"/>
      <c r="M64251"/>
    </row>
    <row r="64252" spans="3:13" ht="12.75" customHeight="1" x14ac:dyDescent="0.2">
      <c r="C64252"/>
      <c r="M64252"/>
    </row>
    <row r="64253" spans="3:13" ht="12.75" customHeight="1" x14ac:dyDescent="0.2">
      <c r="C64253"/>
      <c r="M64253"/>
    </row>
    <row r="64254" spans="3:13" ht="12.75" customHeight="1" x14ac:dyDescent="0.2">
      <c r="C64254"/>
      <c r="M64254"/>
    </row>
    <row r="64255" spans="3:13" ht="12.75" customHeight="1" x14ac:dyDescent="0.2">
      <c r="C64255"/>
      <c r="M64255"/>
    </row>
    <row r="64256" spans="3:13" ht="12.75" customHeight="1" x14ac:dyDescent="0.2">
      <c r="C64256"/>
      <c r="M64256"/>
    </row>
    <row r="64257" spans="3:13" ht="12.75" customHeight="1" x14ac:dyDescent="0.2">
      <c r="C64257"/>
      <c r="M64257"/>
    </row>
    <row r="64258" spans="3:13" ht="12.75" customHeight="1" x14ac:dyDescent="0.2">
      <c r="C64258"/>
      <c r="M64258"/>
    </row>
    <row r="64259" spans="3:13" ht="12.75" customHeight="1" x14ac:dyDescent="0.2">
      <c r="C64259"/>
      <c r="M64259"/>
    </row>
    <row r="64260" spans="3:13" ht="12.75" customHeight="1" x14ac:dyDescent="0.2">
      <c r="C64260"/>
      <c r="M64260"/>
    </row>
    <row r="64261" spans="3:13" ht="12.75" customHeight="1" x14ac:dyDescent="0.2">
      <c r="C64261"/>
      <c r="M64261"/>
    </row>
    <row r="64262" spans="3:13" ht="12.75" customHeight="1" x14ac:dyDescent="0.2">
      <c r="C64262"/>
      <c r="M64262"/>
    </row>
    <row r="64263" spans="3:13" ht="12.75" customHeight="1" x14ac:dyDescent="0.2">
      <c r="C64263"/>
      <c r="M64263"/>
    </row>
    <row r="64264" spans="3:13" ht="12.75" customHeight="1" x14ac:dyDescent="0.2">
      <c r="C64264"/>
      <c r="M64264"/>
    </row>
    <row r="64265" spans="3:13" ht="12.75" customHeight="1" x14ac:dyDescent="0.2">
      <c r="C64265"/>
      <c r="M64265"/>
    </row>
    <row r="64266" spans="3:13" ht="12.75" customHeight="1" x14ac:dyDescent="0.2">
      <c r="C64266"/>
      <c r="M64266"/>
    </row>
    <row r="64267" spans="3:13" ht="12.75" customHeight="1" x14ac:dyDescent="0.2">
      <c r="C64267"/>
      <c r="M64267"/>
    </row>
    <row r="64268" spans="3:13" ht="12.75" customHeight="1" x14ac:dyDescent="0.2">
      <c r="C64268"/>
      <c r="M64268"/>
    </row>
    <row r="64269" spans="3:13" ht="12.75" customHeight="1" x14ac:dyDescent="0.2">
      <c r="C64269"/>
      <c r="M64269"/>
    </row>
    <row r="64270" spans="3:13" ht="12.75" customHeight="1" x14ac:dyDescent="0.2">
      <c r="C64270"/>
      <c r="M64270"/>
    </row>
    <row r="64271" spans="3:13" ht="12.75" customHeight="1" x14ac:dyDescent="0.2">
      <c r="C64271"/>
      <c r="M64271"/>
    </row>
    <row r="64272" spans="3:13" ht="12.75" customHeight="1" x14ac:dyDescent="0.2">
      <c r="C64272"/>
      <c r="M64272"/>
    </row>
    <row r="64273" spans="3:13" ht="12.75" customHeight="1" x14ac:dyDescent="0.2">
      <c r="C64273"/>
      <c r="M64273"/>
    </row>
    <row r="64274" spans="3:13" ht="12.75" customHeight="1" x14ac:dyDescent="0.2">
      <c r="C64274"/>
      <c r="M64274"/>
    </row>
    <row r="64275" spans="3:13" ht="12.75" customHeight="1" x14ac:dyDescent="0.2">
      <c r="C64275"/>
      <c r="M64275"/>
    </row>
    <row r="64276" spans="3:13" ht="12.75" customHeight="1" x14ac:dyDescent="0.2">
      <c r="C64276"/>
      <c r="M64276"/>
    </row>
    <row r="64277" spans="3:13" ht="12.75" customHeight="1" x14ac:dyDescent="0.2">
      <c r="C64277"/>
      <c r="M64277"/>
    </row>
    <row r="64278" spans="3:13" ht="12.75" customHeight="1" x14ac:dyDescent="0.2">
      <c r="C64278"/>
      <c r="M64278"/>
    </row>
    <row r="64279" spans="3:13" ht="12.75" customHeight="1" x14ac:dyDescent="0.2">
      <c r="C64279"/>
      <c r="M64279"/>
    </row>
    <row r="64280" spans="3:13" ht="12.75" customHeight="1" x14ac:dyDescent="0.2">
      <c r="C64280"/>
      <c r="M64280"/>
    </row>
    <row r="64281" spans="3:13" ht="12.75" customHeight="1" x14ac:dyDescent="0.2">
      <c r="C64281"/>
      <c r="M64281"/>
    </row>
    <row r="64282" spans="3:13" ht="12.75" customHeight="1" x14ac:dyDescent="0.2">
      <c r="C64282"/>
      <c r="M64282"/>
    </row>
    <row r="64283" spans="3:13" ht="12.75" customHeight="1" x14ac:dyDescent="0.2">
      <c r="C64283"/>
      <c r="M64283"/>
    </row>
    <row r="64284" spans="3:13" ht="12.75" customHeight="1" x14ac:dyDescent="0.2">
      <c r="C64284"/>
      <c r="M64284"/>
    </row>
    <row r="64285" spans="3:13" ht="12.75" customHeight="1" x14ac:dyDescent="0.2">
      <c r="C64285"/>
      <c r="M64285"/>
    </row>
    <row r="64286" spans="3:13" ht="12.75" customHeight="1" x14ac:dyDescent="0.2">
      <c r="C64286"/>
      <c r="M64286"/>
    </row>
    <row r="64287" spans="3:13" ht="12.75" customHeight="1" x14ac:dyDescent="0.2">
      <c r="C64287"/>
      <c r="M64287"/>
    </row>
    <row r="64288" spans="3:13" ht="12.75" customHeight="1" x14ac:dyDescent="0.2">
      <c r="C64288"/>
      <c r="M64288"/>
    </row>
    <row r="64289" spans="3:13" ht="12.75" customHeight="1" x14ac:dyDescent="0.2">
      <c r="C64289"/>
      <c r="M64289"/>
    </row>
    <row r="64290" spans="3:13" ht="12.75" customHeight="1" x14ac:dyDescent="0.2">
      <c r="C64290"/>
      <c r="M64290"/>
    </row>
    <row r="64291" spans="3:13" ht="12.75" customHeight="1" x14ac:dyDescent="0.2">
      <c r="C64291"/>
      <c r="M64291"/>
    </row>
    <row r="64292" spans="3:13" ht="12.75" customHeight="1" x14ac:dyDescent="0.2">
      <c r="C64292"/>
      <c r="M64292"/>
    </row>
    <row r="64293" spans="3:13" ht="12.75" customHeight="1" x14ac:dyDescent="0.2">
      <c r="C64293"/>
      <c r="M64293"/>
    </row>
    <row r="64294" spans="3:13" ht="12.75" customHeight="1" x14ac:dyDescent="0.2">
      <c r="C64294"/>
      <c r="M64294"/>
    </row>
    <row r="64295" spans="3:13" ht="12.75" customHeight="1" x14ac:dyDescent="0.2">
      <c r="C64295"/>
      <c r="M64295"/>
    </row>
    <row r="64296" spans="3:13" ht="12.75" customHeight="1" x14ac:dyDescent="0.2">
      <c r="C64296"/>
      <c r="M64296"/>
    </row>
    <row r="64297" spans="3:13" ht="12.75" customHeight="1" x14ac:dyDescent="0.2">
      <c r="C64297"/>
      <c r="M64297"/>
    </row>
    <row r="64298" spans="3:13" ht="12.75" customHeight="1" x14ac:dyDescent="0.2">
      <c r="C64298"/>
      <c r="M64298"/>
    </row>
    <row r="64299" spans="3:13" ht="12.75" customHeight="1" x14ac:dyDescent="0.2">
      <c r="C64299"/>
      <c r="M64299"/>
    </row>
    <row r="64300" spans="3:13" ht="12.75" customHeight="1" x14ac:dyDescent="0.2">
      <c r="C64300"/>
      <c r="M64300"/>
    </row>
    <row r="64301" spans="3:13" ht="12.75" customHeight="1" x14ac:dyDescent="0.2">
      <c r="C64301"/>
      <c r="M64301"/>
    </row>
    <row r="64302" spans="3:13" ht="12.75" customHeight="1" x14ac:dyDescent="0.2">
      <c r="C64302"/>
      <c r="M64302"/>
    </row>
    <row r="64303" spans="3:13" ht="12.75" customHeight="1" x14ac:dyDescent="0.2">
      <c r="C64303"/>
      <c r="M64303"/>
    </row>
    <row r="64304" spans="3:13" ht="12.75" customHeight="1" x14ac:dyDescent="0.2">
      <c r="C64304"/>
      <c r="M64304"/>
    </row>
    <row r="64305" spans="3:13" ht="12.75" customHeight="1" x14ac:dyDescent="0.2">
      <c r="C64305"/>
      <c r="M64305"/>
    </row>
    <row r="64306" spans="3:13" ht="12.75" customHeight="1" x14ac:dyDescent="0.2">
      <c r="C64306"/>
      <c r="M64306"/>
    </row>
    <row r="64307" spans="3:13" ht="12.75" customHeight="1" x14ac:dyDescent="0.2">
      <c r="C64307"/>
      <c r="M64307"/>
    </row>
    <row r="64308" spans="3:13" ht="12.75" customHeight="1" x14ac:dyDescent="0.2">
      <c r="C64308"/>
      <c r="M64308"/>
    </row>
    <row r="64309" spans="3:13" ht="12.75" customHeight="1" x14ac:dyDescent="0.2">
      <c r="C64309"/>
      <c r="M64309"/>
    </row>
    <row r="64310" spans="3:13" ht="12.75" customHeight="1" x14ac:dyDescent="0.2">
      <c r="C64310"/>
      <c r="M64310"/>
    </row>
    <row r="64311" spans="3:13" ht="12.75" customHeight="1" x14ac:dyDescent="0.2">
      <c r="C64311"/>
      <c r="M64311"/>
    </row>
    <row r="64312" spans="3:13" ht="12.75" customHeight="1" x14ac:dyDescent="0.2">
      <c r="C64312"/>
      <c r="M64312"/>
    </row>
    <row r="64313" spans="3:13" ht="12.75" customHeight="1" x14ac:dyDescent="0.2">
      <c r="C64313"/>
      <c r="M64313"/>
    </row>
    <row r="64314" spans="3:13" ht="12.75" customHeight="1" x14ac:dyDescent="0.2">
      <c r="C64314"/>
      <c r="M64314"/>
    </row>
    <row r="64315" spans="3:13" ht="12.75" customHeight="1" x14ac:dyDescent="0.2">
      <c r="C64315"/>
      <c r="M64315"/>
    </row>
    <row r="64316" spans="3:13" ht="12.75" customHeight="1" x14ac:dyDescent="0.2">
      <c r="C64316"/>
      <c r="M64316"/>
    </row>
    <row r="64317" spans="3:13" ht="12.75" customHeight="1" x14ac:dyDescent="0.2">
      <c r="C64317"/>
      <c r="M64317"/>
    </row>
    <row r="64318" spans="3:13" ht="12.75" customHeight="1" x14ac:dyDescent="0.2">
      <c r="C64318"/>
      <c r="M64318"/>
    </row>
    <row r="64319" spans="3:13" ht="12.75" customHeight="1" x14ac:dyDescent="0.2">
      <c r="C64319"/>
      <c r="M64319"/>
    </row>
    <row r="64320" spans="3:13" ht="12.75" customHeight="1" x14ac:dyDescent="0.2">
      <c r="C64320"/>
      <c r="M64320"/>
    </row>
    <row r="64321" spans="3:13" ht="12.75" customHeight="1" x14ac:dyDescent="0.2">
      <c r="C64321"/>
      <c r="M64321"/>
    </row>
    <row r="64322" spans="3:13" ht="12.75" customHeight="1" x14ac:dyDescent="0.2">
      <c r="C64322"/>
      <c r="M64322"/>
    </row>
    <row r="64323" spans="3:13" ht="12.75" customHeight="1" x14ac:dyDescent="0.2">
      <c r="C64323"/>
      <c r="M64323"/>
    </row>
    <row r="64324" spans="3:13" ht="12.75" customHeight="1" x14ac:dyDescent="0.2">
      <c r="C64324"/>
      <c r="M64324"/>
    </row>
    <row r="64325" spans="3:13" ht="12.75" customHeight="1" x14ac:dyDescent="0.2">
      <c r="C64325"/>
      <c r="M64325"/>
    </row>
    <row r="64326" spans="3:13" ht="12.75" customHeight="1" x14ac:dyDescent="0.2">
      <c r="C64326"/>
      <c r="M64326"/>
    </row>
    <row r="64327" spans="3:13" ht="12.75" customHeight="1" x14ac:dyDescent="0.2">
      <c r="C64327"/>
      <c r="M64327"/>
    </row>
    <row r="64328" spans="3:13" ht="12.75" customHeight="1" x14ac:dyDescent="0.2">
      <c r="C64328"/>
      <c r="M64328"/>
    </row>
    <row r="64329" spans="3:13" ht="12.75" customHeight="1" x14ac:dyDescent="0.2">
      <c r="C64329"/>
      <c r="M64329"/>
    </row>
    <row r="64330" spans="3:13" ht="12.75" customHeight="1" x14ac:dyDescent="0.2">
      <c r="C64330"/>
      <c r="M64330"/>
    </row>
    <row r="64331" spans="3:13" ht="12.75" customHeight="1" x14ac:dyDescent="0.2">
      <c r="C64331"/>
      <c r="M64331"/>
    </row>
    <row r="64332" spans="3:13" ht="12.75" customHeight="1" x14ac:dyDescent="0.2">
      <c r="C64332"/>
      <c r="M64332"/>
    </row>
    <row r="64333" spans="3:13" ht="12.75" customHeight="1" x14ac:dyDescent="0.2">
      <c r="C64333"/>
      <c r="M64333"/>
    </row>
    <row r="64334" spans="3:13" ht="12.75" customHeight="1" x14ac:dyDescent="0.2">
      <c r="C64334"/>
      <c r="M64334"/>
    </row>
    <row r="64335" spans="3:13" ht="12.75" customHeight="1" x14ac:dyDescent="0.2">
      <c r="C64335"/>
      <c r="M64335"/>
    </row>
    <row r="64336" spans="3:13" ht="12.75" customHeight="1" x14ac:dyDescent="0.2">
      <c r="C64336"/>
      <c r="M64336"/>
    </row>
    <row r="64337" spans="3:13" ht="12.75" customHeight="1" x14ac:dyDescent="0.2">
      <c r="C64337"/>
      <c r="M64337"/>
    </row>
    <row r="64338" spans="3:13" ht="12.75" customHeight="1" x14ac:dyDescent="0.2">
      <c r="C64338"/>
      <c r="M64338"/>
    </row>
    <row r="64339" spans="3:13" ht="12.75" customHeight="1" x14ac:dyDescent="0.2">
      <c r="C64339"/>
      <c r="M64339"/>
    </row>
    <row r="64340" spans="3:13" ht="12.75" customHeight="1" x14ac:dyDescent="0.2">
      <c r="C64340"/>
      <c r="M64340"/>
    </row>
    <row r="64341" spans="3:13" ht="12.75" customHeight="1" x14ac:dyDescent="0.2">
      <c r="C64341"/>
      <c r="M64341"/>
    </row>
    <row r="64342" spans="3:13" ht="12.75" customHeight="1" x14ac:dyDescent="0.2">
      <c r="C64342"/>
      <c r="M64342"/>
    </row>
    <row r="64343" spans="3:13" ht="12.75" customHeight="1" x14ac:dyDescent="0.2">
      <c r="C64343"/>
      <c r="M64343"/>
    </row>
    <row r="64344" spans="3:13" ht="12.75" customHeight="1" x14ac:dyDescent="0.2">
      <c r="C64344"/>
      <c r="M64344"/>
    </row>
    <row r="64345" spans="3:13" ht="12.75" customHeight="1" x14ac:dyDescent="0.2">
      <c r="C64345"/>
      <c r="M64345"/>
    </row>
    <row r="64346" spans="3:13" ht="12.75" customHeight="1" x14ac:dyDescent="0.2">
      <c r="C64346"/>
      <c r="M64346"/>
    </row>
    <row r="64347" spans="3:13" ht="12.75" customHeight="1" x14ac:dyDescent="0.2">
      <c r="C64347"/>
      <c r="M64347"/>
    </row>
    <row r="64348" spans="3:13" ht="12.75" customHeight="1" x14ac:dyDescent="0.2">
      <c r="C64348"/>
      <c r="M64348"/>
    </row>
    <row r="64349" spans="3:13" ht="12.75" customHeight="1" x14ac:dyDescent="0.2">
      <c r="C64349"/>
      <c r="M64349"/>
    </row>
    <row r="64350" spans="3:13" ht="12.75" customHeight="1" x14ac:dyDescent="0.2">
      <c r="C64350"/>
      <c r="M64350"/>
    </row>
    <row r="64351" spans="3:13" ht="12.75" customHeight="1" x14ac:dyDescent="0.2">
      <c r="C64351"/>
      <c r="M64351"/>
    </row>
    <row r="64352" spans="3:13" ht="12.75" customHeight="1" x14ac:dyDescent="0.2">
      <c r="C64352"/>
      <c r="M64352"/>
    </row>
    <row r="64353" spans="3:13" ht="12.75" customHeight="1" x14ac:dyDescent="0.2">
      <c r="C64353"/>
      <c r="M64353"/>
    </row>
    <row r="64354" spans="3:13" ht="12.75" customHeight="1" x14ac:dyDescent="0.2">
      <c r="C64354"/>
      <c r="M64354"/>
    </row>
    <row r="64355" spans="3:13" ht="12.75" customHeight="1" x14ac:dyDescent="0.2">
      <c r="C64355"/>
      <c r="M64355"/>
    </row>
    <row r="64356" spans="3:13" ht="12.75" customHeight="1" x14ac:dyDescent="0.2">
      <c r="C64356"/>
      <c r="M64356"/>
    </row>
    <row r="64357" spans="3:13" ht="12.75" customHeight="1" x14ac:dyDescent="0.2">
      <c r="C64357"/>
      <c r="M64357"/>
    </row>
    <row r="64358" spans="3:13" ht="12.75" customHeight="1" x14ac:dyDescent="0.2">
      <c r="C64358"/>
      <c r="M64358"/>
    </row>
    <row r="64359" spans="3:13" ht="12.75" customHeight="1" x14ac:dyDescent="0.2">
      <c r="C64359"/>
      <c r="M64359"/>
    </row>
    <row r="64360" spans="3:13" ht="12.75" customHeight="1" x14ac:dyDescent="0.2">
      <c r="C64360"/>
      <c r="M64360"/>
    </row>
    <row r="64361" spans="3:13" ht="12.75" customHeight="1" x14ac:dyDescent="0.2">
      <c r="C64361"/>
      <c r="M64361"/>
    </row>
    <row r="64362" spans="3:13" ht="12.75" customHeight="1" x14ac:dyDescent="0.2">
      <c r="C64362"/>
      <c r="M64362"/>
    </row>
    <row r="64363" spans="3:13" ht="12.75" customHeight="1" x14ac:dyDescent="0.2">
      <c r="C64363"/>
      <c r="M64363"/>
    </row>
    <row r="64364" spans="3:13" ht="12.75" customHeight="1" x14ac:dyDescent="0.2">
      <c r="C64364"/>
      <c r="M64364"/>
    </row>
    <row r="64365" spans="3:13" ht="12.75" customHeight="1" x14ac:dyDescent="0.2">
      <c r="C64365"/>
      <c r="M64365"/>
    </row>
    <row r="64366" spans="3:13" ht="12.75" customHeight="1" x14ac:dyDescent="0.2">
      <c r="C64366"/>
      <c r="M64366"/>
    </row>
    <row r="64367" spans="3:13" ht="12.75" customHeight="1" x14ac:dyDescent="0.2">
      <c r="C64367"/>
      <c r="M64367"/>
    </row>
    <row r="64368" spans="3:13" ht="12.75" customHeight="1" x14ac:dyDescent="0.2">
      <c r="C64368"/>
      <c r="M64368"/>
    </row>
    <row r="64369" spans="3:13" ht="12.75" customHeight="1" x14ac:dyDescent="0.2">
      <c r="C64369"/>
      <c r="M64369"/>
    </row>
    <row r="64370" spans="3:13" ht="12.75" customHeight="1" x14ac:dyDescent="0.2">
      <c r="C64370"/>
      <c r="M64370"/>
    </row>
    <row r="64371" spans="3:13" ht="12.75" customHeight="1" x14ac:dyDescent="0.2">
      <c r="C64371"/>
      <c r="M64371"/>
    </row>
    <row r="64372" spans="3:13" ht="12.75" customHeight="1" x14ac:dyDescent="0.2">
      <c r="C64372"/>
      <c r="M64372"/>
    </row>
    <row r="64373" spans="3:13" ht="12.75" customHeight="1" x14ac:dyDescent="0.2">
      <c r="C64373"/>
      <c r="M64373"/>
    </row>
    <row r="64374" spans="3:13" ht="12.75" customHeight="1" x14ac:dyDescent="0.2">
      <c r="C64374"/>
      <c r="M64374"/>
    </row>
    <row r="64375" spans="3:13" ht="12.75" customHeight="1" x14ac:dyDescent="0.2">
      <c r="C64375"/>
      <c r="M64375"/>
    </row>
    <row r="64376" spans="3:13" ht="12.75" customHeight="1" x14ac:dyDescent="0.2">
      <c r="C64376"/>
      <c r="M64376"/>
    </row>
    <row r="64377" spans="3:13" ht="12.75" customHeight="1" x14ac:dyDescent="0.2">
      <c r="C64377"/>
      <c r="M64377"/>
    </row>
    <row r="64378" spans="3:13" ht="12.75" customHeight="1" x14ac:dyDescent="0.2">
      <c r="C64378"/>
      <c r="M64378"/>
    </row>
    <row r="64379" spans="3:13" ht="12.75" customHeight="1" x14ac:dyDescent="0.2">
      <c r="C64379"/>
      <c r="M64379"/>
    </row>
    <row r="64380" spans="3:13" ht="12.75" customHeight="1" x14ac:dyDescent="0.2">
      <c r="C64380"/>
      <c r="M64380"/>
    </row>
    <row r="64381" spans="3:13" ht="12.75" customHeight="1" x14ac:dyDescent="0.2">
      <c r="C64381"/>
      <c r="M64381"/>
    </row>
    <row r="64382" spans="3:13" ht="12.75" customHeight="1" x14ac:dyDescent="0.2">
      <c r="C64382"/>
      <c r="M64382"/>
    </row>
    <row r="64383" spans="3:13" ht="12.75" customHeight="1" x14ac:dyDescent="0.2">
      <c r="C64383"/>
      <c r="M64383"/>
    </row>
    <row r="64384" spans="3:13" ht="12.75" customHeight="1" x14ac:dyDescent="0.2">
      <c r="C64384"/>
      <c r="M64384"/>
    </row>
    <row r="64385" spans="3:13" ht="12.75" customHeight="1" x14ac:dyDescent="0.2">
      <c r="C64385"/>
      <c r="M64385"/>
    </row>
    <row r="64386" spans="3:13" ht="12.75" customHeight="1" x14ac:dyDescent="0.2">
      <c r="C64386"/>
      <c r="M64386"/>
    </row>
    <row r="64387" spans="3:13" ht="12.75" customHeight="1" x14ac:dyDescent="0.2">
      <c r="C64387"/>
      <c r="M64387"/>
    </row>
    <row r="64388" spans="3:13" ht="12.75" customHeight="1" x14ac:dyDescent="0.2">
      <c r="C64388"/>
      <c r="M64388"/>
    </row>
    <row r="64389" spans="3:13" ht="12.75" customHeight="1" x14ac:dyDescent="0.2">
      <c r="C64389"/>
      <c r="M64389"/>
    </row>
    <row r="64390" spans="3:13" ht="12.75" customHeight="1" x14ac:dyDescent="0.2">
      <c r="C64390"/>
      <c r="M64390"/>
    </row>
    <row r="64391" spans="3:13" ht="12.75" customHeight="1" x14ac:dyDescent="0.2">
      <c r="C64391"/>
      <c r="M64391"/>
    </row>
    <row r="64392" spans="3:13" ht="12.75" customHeight="1" x14ac:dyDescent="0.2">
      <c r="C64392"/>
      <c r="M64392"/>
    </row>
    <row r="64393" spans="3:13" ht="12.75" customHeight="1" x14ac:dyDescent="0.2">
      <c r="C64393"/>
      <c r="M64393"/>
    </row>
    <row r="64394" spans="3:13" ht="12.75" customHeight="1" x14ac:dyDescent="0.2">
      <c r="C64394"/>
      <c r="M64394"/>
    </row>
    <row r="64395" spans="3:13" ht="12.75" customHeight="1" x14ac:dyDescent="0.2">
      <c r="C64395"/>
      <c r="M64395"/>
    </row>
    <row r="64396" spans="3:13" ht="12.75" customHeight="1" x14ac:dyDescent="0.2">
      <c r="C64396"/>
      <c r="M64396"/>
    </row>
    <row r="64397" spans="3:13" ht="12.75" customHeight="1" x14ac:dyDescent="0.2">
      <c r="C64397"/>
      <c r="M64397"/>
    </row>
    <row r="64398" spans="3:13" ht="12.75" customHeight="1" x14ac:dyDescent="0.2">
      <c r="C64398"/>
      <c r="M64398"/>
    </row>
    <row r="64399" spans="3:13" ht="12.75" customHeight="1" x14ac:dyDescent="0.2">
      <c r="C64399"/>
      <c r="M64399"/>
    </row>
    <row r="64400" spans="3:13" ht="12.75" customHeight="1" x14ac:dyDescent="0.2">
      <c r="C64400"/>
      <c r="M64400"/>
    </row>
    <row r="64401" spans="3:13" ht="12.75" customHeight="1" x14ac:dyDescent="0.2">
      <c r="C64401"/>
      <c r="M64401"/>
    </row>
    <row r="64402" spans="3:13" ht="12.75" customHeight="1" x14ac:dyDescent="0.2">
      <c r="C64402"/>
      <c r="M64402"/>
    </row>
    <row r="64403" spans="3:13" ht="12.75" customHeight="1" x14ac:dyDescent="0.2">
      <c r="C64403"/>
      <c r="M64403"/>
    </row>
    <row r="64404" spans="3:13" ht="12.75" customHeight="1" x14ac:dyDescent="0.2">
      <c r="C64404"/>
      <c r="M64404"/>
    </row>
    <row r="64405" spans="3:13" ht="12.75" customHeight="1" x14ac:dyDescent="0.2">
      <c r="C64405"/>
      <c r="M64405"/>
    </row>
    <row r="64406" spans="3:13" ht="12.75" customHeight="1" x14ac:dyDescent="0.2">
      <c r="C64406"/>
      <c r="M64406"/>
    </row>
    <row r="64407" spans="3:13" ht="12.75" customHeight="1" x14ac:dyDescent="0.2">
      <c r="C64407"/>
      <c r="M64407"/>
    </row>
    <row r="64408" spans="3:13" ht="12.75" customHeight="1" x14ac:dyDescent="0.2">
      <c r="C64408"/>
      <c r="M64408"/>
    </row>
    <row r="64409" spans="3:13" ht="12.75" customHeight="1" x14ac:dyDescent="0.2">
      <c r="C64409"/>
      <c r="M64409"/>
    </row>
    <row r="64410" spans="3:13" ht="12.75" customHeight="1" x14ac:dyDescent="0.2">
      <c r="C64410"/>
      <c r="M64410"/>
    </row>
    <row r="64411" spans="3:13" ht="12.75" customHeight="1" x14ac:dyDescent="0.2">
      <c r="C64411"/>
      <c r="M64411"/>
    </row>
    <row r="64412" spans="3:13" ht="12.75" customHeight="1" x14ac:dyDescent="0.2">
      <c r="C64412"/>
      <c r="M64412"/>
    </row>
    <row r="64413" spans="3:13" ht="12.75" customHeight="1" x14ac:dyDescent="0.2">
      <c r="C64413"/>
      <c r="M64413"/>
    </row>
    <row r="64414" spans="3:13" ht="12.75" customHeight="1" x14ac:dyDescent="0.2">
      <c r="C64414"/>
      <c r="M64414"/>
    </row>
    <row r="64415" spans="3:13" ht="12.75" customHeight="1" x14ac:dyDescent="0.2">
      <c r="C64415"/>
      <c r="M64415"/>
    </row>
    <row r="64416" spans="3:13" ht="12.75" customHeight="1" x14ac:dyDescent="0.2">
      <c r="C64416"/>
      <c r="M64416"/>
    </row>
    <row r="64417" spans="3:13" ht="12.75" customHeight="1" x14ac:dyDescent="0.2">
      <c r="C64417"/>
      <c r="M64417"/>
    </row>
    <row r="64418" spans="3:13" ht="12.75" customHeight="1" x14ac:dyDescent="0.2">
      <c r="C64418"/>
      <c r="M64418"/>
    </row>
    <row r="64419" spans="3:13" ht="12.75" customHeight="1" x14ac:dyDescent="0.2">
      <c r="C64419"/>
      <c r="M64419"/>
    </row>
    <row r="64420" spans="3:13" ht="12.75" customHeight="1" x14ac:dyDescent="0.2">
      <c r="C64420"/>
      <c r="M64420"/>
    </row>
    <row r="64421" spans="3:13" ht="12.75" customHeight="1" x14ac:dyDescent="0.2">
      <c r="C64421"/>
      <c r="M64421"/>
    </row>
    <row r="64422" spans="3:13" ht="12.75" customHeight="1" x14ac:dyDescent="0.2">
      <c r="C64422"/>
      <c r="M64422"/>
    </row>
    <row r="64423" spans="3:13" ht="12.75" customHeight="1" x14ac:dyDescent="0.2">
      <c r="C64423"/>
      <c r="M64423"/>
    </row>
    <row r="64424" spans="3:13" ht="12.75" customHeight="1" x14ac:dyDescent="0.2">
      <c r="C64424"/>
      <c r="M64424"/>
    </row>
    <row r="64425" spans="3:13" ht="12.75" customHeight="1" x14ac:dyDescent="0.2">
      <c r="C64425"/>
      <c r="M64425"/>
    </row>
    <row r="64426" spans="3:13" ht="12.75" customHeight="1" x14ac:dyDescent="0.2">
      <c r="C64426"/>
      <c r="M64426"/>
    </row>
    <row r="64427" spans="3:13" ht="12.75" customHeight="1" x14ac:dyDescent="0.2">
      <c r="C64427"/>
      <c r="M64427"/>
    </row>
    <row r="64428" spans="3:13" ht="12.75" customHeight="1" x14ac:dyDescent="0.2">
      <c r="C64428"/>
      <c r="M64428"/>
    </row>
    <row r="64429" spans="3:13" ht="12.75" customHeight="1" x14ac:dyDescent="0.2">
      <c r="C64429"/>
      <c r="M64429"/>
    </row>
    <row r="64430" spans="3:13" ht="12.75" customHeight="1" x14ac:dyDescent="0.2">
      <c r="C64430"/>
      <c r="M64430"/>
    </row>
    <row r="64431" spans="3:13" ht="12.75" customHeight="1" x14ac:dyDescent="0.2">
      <c r="C64431"/>
      <c r="M64431"/>
    </row>
    <row r="64432" spans="3:13" ht="12.75" customHeight="1" x14ac:dyDescent="0.2">
      <c r="C64432"/>
      <c r="M64432"/>
    </row>
    <row r="64433" spans="3:13" ht="12.75" customHeight="1" x14ac:dyDescent="0.2">
      <c r="C64433"/>
      <c r="M64433"/>
    </row>
    <row r="64434" spans="3:13" ht="12.75" customHeight="1" x14ac:dyDescent="0.2">
      <c r="C64434"/>
      <c r="M64434"/>
    </row>
    <row r="64435" spans="3:13" ht="12.75" customHeight="1" x14ac:dyDescent="0.2">
      <c r="C64435"/>
      <c r="M64435"/>
    </row>
    <row r="64436" spans="3:13" ht="12.75" customHeight="1" x14ac:dyDescent="0.2">
      <c r="C64436"/>
      <c r="M64436"/>
    </row>
    <row r="64437" spans="3:13" ht="12.75" customHeight="1" x14ac:dyDescent="0.2">
      <c r="C64437"/>
      <c r="M64437"/>
    </row>
    <row r="64438" spans="3:13" ht="12.75" customHeight="1" x14ac:dyDescent="0.2">
      <c r="C64438"/>
      <c r="M64438"/>
    </row>
    <row r="64439" spans="3:13" ht="12.75" customHeight="1" x14ac:dyDescent="0.2">
      <c r="C64439"/>
      <c r="M64439"/>
    </row>
    <row r="64440" spans="3:13" ht="12.75" customHeight="1" x14ac:dyDescent="0.2">
      <c r="C64440"/>
      <c r="M64440"/>
    </row>
    <row r="64441" spans="3:13" ht="12.75" customHeight="1" x14ac:dyDescent="0.2">
      <c r="C64441"/>
      <c r="M64441"/>
    </row>
    <row r="64442" spans="3:13" ht="12.75" customHeight="1" x14ac:dyDescent="0.2">
      <c r="C64442"/>
      <c r="M64442"/>
    </row>
    <row r="64443" spans="3:13" ht="12.75" customHeight="1" x14ac:dyDescent="0.2">
      <c r="C64443"/>
      <c r="M64443"/>
    </row>
    <row r="64444" spans="3:13" ht="12.75" customHeight="1" x14ac:dyDescent="0.2">
      <c r="C64444"/>
      <c r="M64444"/>
    </row>
    <row r="64445" spans="3:13" ht="12.75" customHeight="1" x14ac:dyDescent="0.2">
      <c r="C64445"/>
      <c r="M64445"/>
    </row>
    <row r="64446" spans="3:13" ht="12.75" customHeight="1" x14ac:dyDescent="0.2">
      <c r="C64446"/>
      <c r="M64446"/>
    </row>
    <row r="64447" spans="3:13" ht="12.75" customHeight="1" x14ac:dyDescent="0.2">
      <c r="C64447"/>
      <c r="M64447"/>
    </row>
    <row r="64448" spans="3:13" ht="12.75" customHeight="1" x14ac:dyDescent="0.2">
      <c r="C64448"/>
      <c r="M64448"/>
    </row>
    <row r="64449" spans="3:13" ht="12.75" customHeight="1" x14ac:dyDescent="0.2">
      <c r="C64449"/>
      <c r="M64449"/>
    </row>
    <row r="64450" spans="3:13" ht="12.75" customHeight="1" x14ac:dyDescent="0.2">
      <c r="C64450"/>
      <c r="M64450"/>
    </row>
    <row r="64451" spans="3:13" ht="12.75" customHeight="1" x14ac:dyDescent="0.2">
      <c r="C64451"/>
      <c r="M64451"/>
    </row>
    <row r="64452" spans="3:13" ht="12.75" customHeight="1" x14ac:dyDescent="0.2">
      <c r="C64452"/>
      <c r="M64452"/>
    </row>
    <row r="64453" spans="3:13" ht="12.75" customHeight="1" x14ac:dyDescent="0.2">
      <c r="C64453"/>
      <c r="M64453"/>
    </row>
    <row r="64454" spans="3:13" ht="12.75" customHeight="1" x14ac:dyDescent="0.2">
      <c r="C64454"/>
      <c r="M64454"/>
    </row>
    <row r="64455" spans="3:13" ht="12.75" customHeight="1" x14ac:dyDescent="0.2">
      <c r="C64455"/>
      <c r="M64455"/>
    </row>
    <row r="64456" spans="3:13" ht="12.75" customHeight="1" x14ac:dyDescent="0.2">
      <c r="C64456"/>
      <c r="M64456"/>
    </row>
    <row r="64457" spans="3:13" ht="12.75" customHeight="1" x14ac:dyDescent="0.2">
      <c r="C64457"/>
      <c r="M64457"/>
    </row>
    <row r="64458" spans="3:13" ht="12.75" customHeight="1" x14ac:dyDescent="0.2">
      <c r="C64458"/>
      <c r="M64458"/>
    </row>
    <row r="64459" spans="3:13" ht="12.75" customHeight="1" x14ac:dyDescent="0.2">
      <c r="C64459"/>
      <c r="M64459"/>
    </row>
    <row r="64460" spans="3:13" ht="12.75" customHeight="1" x14ac:dyDescent="0.2">
      <c r="C64460"/>
      <c r="M64460"/>
    </row>
    <row r="64461" spans="3:13" ht="12.75" customHeight="1" x14ac:dyDescent="0.2">
      <c r="C64461"/>
      <c r="M64461"/>
    </row>
    <row r="64462" spans="3:13" ht="12.75" customHeight="1" x14ac:dyDescent="0.2">
      <c r="C64462"/>
      <c r="M64462"/>
    </row>
    <row r="64463" spans="3:13" ht="12.75" customHeight="1" x14ac:dyDescent="0.2">
      <c r="C64463"/>
      <c r="M64463"/>
    </row>
    <row r="64464" spans="3:13" ht="12.75" customHeight="1" x14ac:dyDescent="0.2">
      <c r="C64464"/>
      <c r="M64464"/>
    </row>
    <row r="64465" spans="3:13" ht="12.75" customHeight="1" x14ac:dyDescent="0.2">
      <c r="C64465"/>
      <c r="M64465"/>
    </row>
    <row r="64466" spans="3:13" ht="12.75" customHeight="1" x14ac:dyDescent="0.2">
      <c r="C64466"/>
      <c r="M64466"/>
    </row>
    <row r="64467" spans="3:13" ht="12.75" customHeight="1" x14ac:dyDescent="0.2">
      <c r="C64467"/>
      <c r="M64467"/>
    </row>
    <row r="64468" spans="3:13" ht="12.75" customHeight="1" x14ac:dyDescent="0.2">
      <c r="C64468"/>
      <c r="M64468"/>
    </row>
    <row r="64469" spans="3:13" ht="12.75" customHeight="1" x14ac:dyDescent="0.2">
      <c r="C64469"/>
      <c r="M64469"/>
    </row>
    <row r="64470" spans="3:13" ht="12.75" customHeight="1" x14ac:dyDescent="0.2">
      <c r="C64470"/>
      <c r="M64470"/>
    </row>
    <row r="64471" spans="3:13" ht="12.75" customHeight="1" x14ac:dyDescent="0.2">
      <c r="C64471"/>
      <c r="M64471"/>
    </row>
    <row r="64472" spans="3:13" ht="12.75" customHeight="1" x14ac:dyDescent="0.2">
      <c r="C64472"/>
      <c r="M64472"/>
    </row>
    <row r="64473" spans="3:13" ht="12.75" customHeight="1" x14ac:dyDescent="0.2">
      <c r="C64473"/>
      <c r="M64473"/>
    </row>
    <row r="64474" spans="3:13" ht="12.75" customHeight="1" x14ac:dyDescent="0.2">
      <c r="C64474"/>
      <c r="M64474"/>
    </row>
    <row r="64475" spans="3:13" ht="12.75" customHeight="1" x14ac:dyDescent="0.2">
      <c r="C64475"/>
      <c r="M64475"/>
    </row>
    <row r="64476" spans="3:13" ht="12.75" customHeight="1" x14ac:dyDescent="0.2">
      <c r="C64476"/>
      <c r="M64476"/>
    </row>
    <row r="64477" spans="3:13" ht="12.75" customHeight="1" x14ac:dyDescent="0.2">
      <c r="C64477"/>
      <c r="M64477"/>
    </row>
    <row r="64478" spans="3:13" ht="12.75" customHeight="1" x14ac:dyDescent="0.2">
      <c r="C64478"/>
      <c r="M64478"/>
    </row>
    <row r="64479" spans="3:13" ht="12.75" customHeight="1" x14ac:dyDescent="0.2">
      <c r="C64479"/>
      <c r="M64479"/>
    </row>
    <row r="64480" spans="3:13" ht="12.75" customHeight="1" x14ac:dyDescent="0.2">
      <c r="C64480"/>
      <c r="M64480"/>
    </row>
    <row r="64481" spans="3:13" ht="12.75" customHeight="1" x14ac:dyDescent="0.2">
      <c r="C64481"/>
      <c r="M64481"/>
    </row>
    <row r="64482" spans="3:13" ht="12.75" customHeight="1" x14ac:dyDescent="0.2">
      <c r="C64482"/>
      <c r="M64482"/>
    </row>
    <row r="64483" spans="3:13" ht="12.75" customHeight="1" x14ac:dyDescent="0.2">
      <c r="C64483"/>
      <c r="M64483"/>
    </row>
    <row r="64484" spans="3:13" ht="12.75" customHeight="1" x14ac:dyDescent="0.2">
      <c r="C64484"/>
      <c r="M64484"/>
    </row>
    <row r="64485" spans="3:13" ht="12.75" customHeight="1" x14ac:dyDescent="0.2">
      <c r="C64485"/>
      <c r="M64485"/>
    </row>
    <row r="64486" spans="3:13" ht="12.75" customHeight="1" x14ac:dyDescent="0.2">
      <c r="C64486"/>
      <c r="M64486"/>
    </row>
    <row r="64487" spans="3:13" ht="12.75" customHeight="1" x14ac:dyDescent="0.2">
      <c r="C64487"/>
      <c r="M64487"/>
    </row>
    <row r="64488" spans="3:13" ht="12.75" customHeight="1" x14ac:dyDescent="0.2">
      <c r="C64488"/>
      <c r="M64488"/>
    </row>
    <row r="64489" spans="3:13" ht="12.75" customHeight="1" x14ac:dyDescent="0.2">
      <c r="C64489"/>
      <c r="M64489"/>
    </row>
    <row r="64490" spans="3:13" ht="12.75" customHeight="1" x14ac:dyDescent="0.2">
      <c r="C64490"/>
      <c r="M64490"/>
    </row>
    <row r="64491" spans="3:13" ht="12.75" customHeight="1" x14ac:dyDescent="0.2">
      <c r="C64491"/>
      <c r="M64491"/>
    </row>
    <row r="64492" spans="3:13" ht="12.75" customHeight="1" x14ac:dyDescent="0.2">
      <c r="C64492"/>
      <c r="M64492"/>
    </row>
    <row r="64493" spans="3:13" ht="12.75" customHeight="1" x14ac:dyDescent="0.2">
      <c r="C64493"/>
      <c r="M64493"/>
    </row>
    <row r="64494" spans="3:13" ht="12.75" customHeight="1" x14ac:dyDescent="0.2">
      <c r="C64494"/>
      <c r="M64494"/>
    </row>
    <row r="64495" spans="3:13" ht="12.75" customHeight="1" x14ac:dyDescent="0.2">
      <c r="C64495"/>
      <c r="M64495"/>
    </row>
    <row r="64496" spans="3:13" ht="12.75" customHeight="1" x14ac:dyDescent="0.2">
      <c r="C64496"/>
      <c r="M64496"/>
    </row>
    <row r="64497" spans="3:13" ht="12.75" customHeight="1" x14ac:dyDescent="0.2">
      <c r="C64497"/>
      <c r="M64497"/>
    </row>
    <row r="64498" spans="3:13" ht="12.75" customHeight="1" x14ac:dyDescent="0.2">
      <c r="C64498"/>
      <c r="M64498"/>
    </row>
    <row r="64499" spans="3:13" ht="12.75" customHeight="1" x14ac:dyDescent="0.2">
      <c r="C64499"/>
      <c r="M64499"/>
    </row>
    <row r="64500" spans="3:13" ht="12.75" customHeight="1" x14ac:dyDescent="0.2">
      <c r="C64500"/>
      <c r="M64500"/>
    </row>
    <row r="64501" spans="3:13" ht="12.75" customHeight="1" x14ac:dyDescent="0.2">
      <c r="C64501"/>
      <c r="M64501"/>
    </row>
    <row r="64502" spans="3:13" ht="12.75" customHeight="1" x14ac:dyDescent="0.2">
      <c r="C64502"/>
      <c r="M64502"/>
    </row>
    <row r="64503" spans="3:13" ht="12.75" customHeight="1" x14ac:dyDescent="0.2">
      <c r="C64503"/>
      <c r="M64503"/>
    </row>
    <row r="64504" spans="3:13" ht="12.75" customHeight="1" x14ac:dyDescent="0.2">
      <c r="C64504"/>
      <c r="M64504"/>
    </row>
    <row r="64505" spans="3:13" ht="12.75" customHeight="1" x14ac:dyDescent="0.2">
      <c r="C64505"/>
      <c r="M64505"/>
    </row>
    <row r="64506" spans="3:13" ht="12.75" customHeight="1" x14ac:dyDescent="0.2">
      <c r="C64506"/>
      <c r="M64506"/>
    </row>
    <row r="64507" spans="3:13" ht="12.75" customHeight="1" x14ac:dyDescent="0.2">
      <c r="C64507"/>
      <c r="M64507"/>
    </row>
    <row r="64508" spans="3:13" ht="12.75" customHeight="1" x14ac:dyDescent="0.2">
      <c r="C64508"/>
      <c r="M64508"/>
    </row>
    <row r="64509" spans="3:13" ht="12.75" customHeight="1" x14ac:dyDescent="0.2">
      <c r="C64509"/>
      <c r="M64509"/>
    </row>
    <row r="64510" spans="3:13" ht="12.75" customHeight="1" x14ac:dyDescent="0.2">
      <c r="C64510"/>
      <c r="M64510"/>
    </row>
    <row r="64511" spans="3:13" ht="12.75" customHeight="1" x14ac:dyDescent="0.2">
      <c r="C64511"/>
      <c r="M64511"/>
    </row>
    <row r="64512" spans="3:13" ht="12.75" customHeight="1" x14ac:dyDescent="0.2">
      <c r="C64512"/>
      <c r="M64512"/>
    </row>
    <row r="64513" spans="3:13" ht="12.75" customHeight="1" x14ac:dyDescent="0.2">
      <c r="C64513"/>
      <c r="M64513"/>
    </row>
    <row r="64514" spans="3:13" ht="12.75" customHeight="1" x14ac:dyDescent="0.2">
      <c r="C64514"/>
      <c r="M64514"/>
    </row>
    <row r="64515" spans="3:13" ht="12.75" customHeight="1" x14ac:dyDescent="0.2">
      <c r="C64515"/>
      <c r="M64515"/>
    </row>
    <row r="64516" spans="3:13" ht="12.75" customHeight="1" x14ac:dyDescent="0.2">
      <c r="C64516"/>
      <c r="M64516"/>
    </row>
    <row r="64517" spans="3:13" ht="12.75" customHeight="1" x14ac:dyDescent="0.2">
      <c r="C64517"/>
      <c r="M64517"/>
    </row>
    <row r="64518" spans="3:13" ht="12.75" customHeight="1" x14ac:dyDescent="0.2">
      <c r="C64518"/>
      <c r="M64518"/>
    </row>
    <row r="64519" spans="3:13" ht="12.75" customHeight="1" x14ac:dyDescent="0.2">
      <c r="C64519"/>
      <c r="M64519"/>
    </row>
    <row r="64520" spans="3:13" ht="12.75" customHeight="1" x14ac:dyDescent="0.2">
      <c r="C64520"/>
      <c r="M64520"/>
    </row>
    <row r="64521" spans="3:13" ht="12.75" customHeight="1" x14ac:dyDescent="0.2">
      <c r="C64521"/>
      <c r="M64521"/>
    </row>
    <row r="64522" spans="3:13" ht="12.75" customHeight="1" x14ac:dyDescent="0.2">
      <c r="C64522"/>
      <c r="M64522"/>
    </row>
    <row r="64523" spans="3:13" ht="12.75" customHeight="1" x14ac:dyDescent="0.2">
      <c r="C64523"/>
      <c r="M64523"/>
    </row>
    <row r="64524" spans="3:13" ht="12.75" customHeight="1" x14ac:dyDescent="0.2">
      <c r="C64524"/>
      <c r="M64524"/>
    </row>
    <row r="64525" spans="3:13" ht="12.75" customHeight="1" x14ac:dyDescent="0.2">
      <c r="C64525"/>
      <c r="M64525"/>
    </row>
    <row r="64526" spans="3:13" ht="12.75" customHeight="1" x14ac:dyDescent="0.2">
      <c r="C64526"/>
      <c r="M64526"/>
    </row>
    <row r="64527" spans="3:13" ht="12.75" customHeight="1" x14ac:dyDescent="0.2">
      <c r="C64527"/>
      <c r="M64527"/>
    </row>
    <row r="64528" spans="3:13" ht="12.75" customHeight="1" x14ac:dyDescent="0.2">
      <c r="C64528"/>
      <c r="M64528"/>
    </row>
    <row r="64529" spans="3:13" ht="12.75" customHeight="1" x14ac:dyDescent="0.2">
      <c r="C64529"/>
      <c r="M64529"/>
    </row>
    <row r="64530" spans="3:13" ht="12.75" customHeight="1" x14ac:dyDescent="0.2">
      <c r="C64530"/>
      <c r="M64530"/>
    </row>
    <row r="64531" spans="3:13" ht="12.75" customHeight="1" x14ac:dyDescent="0.2">
      <c r="C64531"/>
      <c r="M64531"/>
    </row>
    <row r="64532" spans="3:13" ht="12.75" customHeight="1" x14ac:dyDescent="0.2">
      <c r="C64532"/>
      <c r="M64532"/>
    </row>
    <row r="64533" spans="3:13" ht="12.75" customHeight="1" x14ac:dyDescent="0.2">
      <c r="C64533"/>
      <c r="M64533"/>
    </row>
    <row r="64534" spans="3:13" ht="12.75" customHeight="1" x14ac:dyDescent="0.2">
      <c r="C64534"/>
      <c r="M64534"/>
    </row>
    <row r="64535" spans="3:13" ht="12.75" customHeight="1" x14ac:dyDescent="0.2">
      <c r="C64535"/>
      <c r="M64535"/>
    </row>
    <row r="64536" spans="3:13" ht="12.75" customHeight="1" x14ac:dyDescent="0.2">
      <c r="C64536"/>
      <c r="M64536"/>
    </row>
    <row r="64537" spans="3:13" ht="12.75" customHeight="1" x14ac:dyDescent="0.2">
      <c r="C64537"/>
      <c r="M64537"/>
    </row>
    <row r="64538" spans="3:13" ht="12.75" customHeight="1" x14ac:dyDescent="0.2">
      <c r="C64538"/>
      <c r="M64538"/>
    </row>
    <row r="64539" spans="3:13" ht="12.75" customHeight="1" x14ac:dyDescent="0.2">
      <c r="C64539"/>
      <c r="M64539"/>
    </row>
    <row r="64540" spans="3:13" ht="12.75" customHeight="1" x14ac:dyDescent="0.2">
      <c r="C64540"/>
      <c r="M64540"/>
    </row>
    <row r="64541" spans="3:13" ht="12.75" customHeight="1" x14ac:dyDescent="0.2">
      <c r="C64541"/>
      <c r="M64541"/>
    </row>
    <row r="64542" spans="3:13" ht="12.75" customHeight="1" x14ac:dyDescent="0.2">
      <c r="C64542"/>
      <c r="M64542"/>
    </row>
    <row r="64543" spans="3:13" ht="12.75" customHeight="1" x14ac:dyDescent="0.2">
      <c r="C64543"/>
      <c r="M64543"/>
    </row>
    <row r="64544" spans="3:13" ht="12.75" customHeight="1" x14ac:dyDescent="0.2">
      <c r="C64544"/>
      <c r="M64544"/>
    </row>
    <row r="64545" spans="3:13" ht="12.75" customHeight="1" x14ac:dyDescent="0.2">
      <c r="C64545"/>
      <c r="M64545"/>
    </row>
    <row r="64546" spans="3:13" ht="12.75" customHeight="1" x14ac:dyDescent="0.2">
      <c r="C64546"/>
      <c r="M64546"/>
    </row>
    <row r="64547" spans="3:13" ht="12.75" customHeight="1" x14ac:dyDescent="0.2">
      <c r="C64547"/>
      <c r="M64547"/>
    </row>
    <row r="64548" spans="3:13" ht="12.75" customHeight="1" x14ac:dyDescent="0.2">
      <c r="C64548"/>
      <c r="M64548"/>
    </row>
    <row r="64549" spans="3:13" ht="12.75" customHeight="1" x14ac:dyDescent="0.2">
      <c r="C64549"/>
      <c r="M64549"/>
    </row>
    <row r="64550" spans="3:13" ht="12.75" customHeight="1" x14ac:dyDescent="0.2">
      <c r="C64550"/>
      <c r="M64550"/>
    </row>
    <row r="64551" spans="3:13" ht="12.75" customHeight="1" x14ac:dyDescent="0.2">
      <c r="C64551"/>
      <c r="M64551"/>
    </row>
    <row r="64552" spans="3:13" ht="12.75" customHeight="1" x14ac:dyDescent="0.2">
      <c r="C64552"/>
      <c r="M64552"/>
    </row>
    <row r="64553" spans="3:13" ht="12.75" customHeight="1" x14ac:dyDescent="0.2">
      <c r="C64553"/>
      <c r="M64553"/>
    </row>
    <row r="64554" spans="3:13" ht="12.75" customHeight="1" x14ac:dyDescent="0.2">
      <c r="C64554"/>
      <c r="M64554"/>
    </row>
    <row r="64555" spans="3:13" ht="12.75" customHeight="1" x14ac:dyDescent="0.2">
      <c r="C64555"/>
      <c r="M64555"/>
    </row>
    <row r="64556" spans="3:13" ht="12.75" customHeight="1" x14ac:dyDescent="0.2">
      <c r="C64556"/>
      <c r="M64556"/>
    </row>
    <row r="64557" spans="3:13" ht="12.75" customHeight="1" x14ac:dyDescent="0.2">
      <c r="C64557"/>
      <c r="M64557"/>
    </row>
    <row r="64558" spans="3:13" ht="12.75" customHeight="1" x14ac:dyDescent="0.2">
      <c r="C64558"/>
      <c r="M64558"/>
    </row>
    <row r="64559" spans="3:13" ht="12.75" customHeight="1" x14ac:dyDescent="0.2">
      <c r="C64559"/>
      <c r="M64559"/>
    </row>
    <row r="64560" spans="3:13" ht="12.75" customHeight="1" x14ac:dyDescent="0.2">
      <c r="C64560"/>
      <c r="M64560"/>
    </row>
    <row r="64561" spans="3:13" ht="12.75" customHeight="1" x14ac:dyDescent="0.2">
      <c r="C64561"/>
      <c r="M64561"/>
    </row>
    <row r="64562" spans="3:13" ht="12.75" customHeight="1" x14ac:dyDescent="0.2">
      <c r="C64562"/>
      <c r="M64562"/>
    </row>
    <row r="64563" spans="3:13" ht="12.75" customHeight="1" x14ac:dyDescent="0.2">
      <c r="C64563"/>
      <c r="M64563"/>
    </row>
    <row r="64564" spans="3:13" ht="12.75" customHeight="1" x14ac:dyDescent="0.2">
      <c r="C64564"/>
      <c r="M64564"/>
    </row>
    <row r="64565" spans="3:13" ht="12.75" customHeight="1" x14ac:dyDescent="0.2">
      <c r="C64565"/>
      <c r="M64565"/>
    </row>
    <row r="64566" spans="3:13" ht="12.75" customHeight="1" x14ac:dyDescent="0.2">
      <c r="C64566"/>
      <c r="M64566"/>
    </row>
    <row r="64567" spans="3:13" ht="12.75" customHeight="1" x14ac:dyDescent="0.2">
      <c r="C64567"/>
      <c r="M64567"/>
    </row>
    <row r="64568" spans="3:13" ht="12.75" customHeight="1" x14ac:dyDescent="0.2">
      <c r="C64568"/>
      <c r="M64568"/>
    </row>
    <row r="64569" spans="3:13" ht="12.75" customHeight="1" x14ac:dyDescent="0.2">
      <c r="C64569"/>
      <c r="M64569"/>
    </row>
    <row r="64570" spans="3:13" ht="12.75" customHeight="1" x14ac:dyDescent="0.2">
      <c r="C64570"/>
      <c r="M64570"/>
    </row>
    <row r="64571" spans="3:13" ht="12.75" customHeight="1" x14ac:dyDescent="0.2">
      <c r="C64571"/>
      <c r="M64571"/>
    </row>
    <row r="64572" spans="3:13" ht="12.75" customHeight="1" x14ac:dyDescent="0.2">
      <c r="C64572"/>
      <c r="M64572"/>
    </row>
    <row r="64573" spans="3:13" ht="12.75" customHeight="1" x14ac:dyDescent="0.2">
      <c r="C64573"/>
      <c r="M64573"/>
    </row>
    <row r="64574" spans="3:13" ht="12.75" customHeight="1" x14ac:dyDescent="0.2">
      <c r="C64574"/>
      <c r="M64574"/>
    </row>
    <row r="64575" spans="3:13" ht="12.75" customHeight="1" x14ac:dyDescent="0.2">
      <c r="C64575"/>
      <c r="M64575"/>
    </row>
    <row r="64576" spans="3:13" ht="12.75" customHeight="1" x14ac:dyDescent="0.2">
      <c r="C64576"/>
      <c r="M64576"/>
    </row>
    <row r="64577" spans="3:13" ht="12.75" customHeight="1" x14ac:dyDescent="0.2">
      <c r="C64577"/>
      <c r="M64577"/>
    </row>
    <row r="64578" spans="3:13" ht="12.75" customHeight="1" x14ac:dyDescent="0.2">
      <c r="C64578"/>
      <c r="M64578"/>
    </row>
    <row r="64579" spans="3:13" ht="12.75" customHeight="1" x14ac:dyDescent="0.2">
      <c r="C64579"/>
      <c r="M64579"/>
    </row>
    <row r="64580" spans="3:13" ht="12.75" customHeight="1" x14ac:dyDescent="0.2">
      <c r="C64580"/>
      <c r="M64580"/>
    </row>
    <row r="64581" spans="3:13" ht="12.75" customHeight="1" x14ac:dyDescent="0.2">
      <c r="C64581"/>
      <c r="M64581"/>
    </row>
    <row r="64582" spans="3:13" ht="12.75" customHeight="1" x14ac:dyDescent="0.2">
      <c r="C64582"/>
      <c r="M64582"/>
    </row>
    <row r="64583" spans="3:13" ht="12.75" customHeight="1" x14ac:dyDescent="0.2">
      <c r="C64583"/>
      <c r="M64583"/>
    </row>
    <row r="64584" spans="3:13" ht="12.75" customHeight="1" x14ac:dyDescent="0.2">
      <c r="C64584"/>
      <c r="M64584"/>
    </row>
    <row r="64585" spans="3:13" ht="12.75" customHeight="1" x14ac:dyDescent="0.2">
      <c r="C64585"/>
      <c r="M64585"/>
    </row>
    <row r="64586" spans="3:13" ht="12.75" customHeight="1" x14ac:dyDescent="0.2">
      <c r="C64586"/>
      <c r="M64586"/>
    </row>
    <row r="64587" spans="3:13" ht="12.75" customHeight="1" x14ac:dyDescent="0.2">
      <c r="C64587"/>
      <c r="M64587"/>
    </row>
    <row r="64588" spans="3:13" ht="12.75" customHeight="1" x14ac:dyDescent="0.2">
      <c r="C64588"/>
      <c r="M64588"/>
    </row>
    <row r="64589" spans="3:13" ht="12.75" customHeight="1" x14ac:dyDescent="0.2">
      <c r="C64589"/>
      <c r="M64589"/>
    </row>
    <row r="64590" spans="3:13" ht="12.75" customHeight="1" x14ac:dyDescent="0.2">
      <c r="C64590"/>
      <c r="M64590"/>
    </row>
    <row r="64591" spans="3:13" ht="12.75" customHeight="1" x14ac:dyDescent="0.2">
      <c r="C64591"/>
      <c r="M64591"/>
    </row>
    <row r="64592" spans="3:13" ht="12.75" customHeight="1" x14ac:dyDescent="0.2">
      <c r="C64592"/>
      <c r="M64592"/>
    </row>
    <row r="64593" spans="3:13" ht="12.75" customHeight="1" x14ac:dyDescent="0.2">
      <c r="C64593"/>
      <c r="M64593"/>
    </row>
    <row r="64594" spans="3:13" ht="12.75" customHeight="1" x14ac:dyDescent="0.2">
      <c r="C64594"/>
      <c r="M64594"/>
    </row>
    <row r="64595" spans="3:13" ht="12.75" customHeight="1" x14ac:dyDescent="0.2">
      <c r="C64595"/>
      <c r="M64595"/>
    </row>
    <row r="64596" spans="3:13" ht="12.75" customHeight="1" x14ac:dyDescent="0.2">
      <c r="C64596"/>
      <c r="M64596"/>
    </row>
    <row r="64597" spans="3:13" ht="12.75" customHeight="1" x14ac:dyDescent="0.2">
      <c r="C64597"/>
      <c r="M64597"/>
    </row>
    <row r="64598" spans="3:13" ht="12.75" customHeight="1" x14ac:dyDescent="0.2">
      <c r="C64598"/>
      <c r="M64598"/>
    </row>
    <row r="64599" spans="3:13" ht="12.75" customHeight="1" x14ac:dyDescent="0.2">
      <c r="C64599"/>
      <c r="M64599"/>
    </row>
    <row r="64600" spans="3:13" ht="12.75" customHeight="1" x14ac:dyDescent="0.2">
      <c r="C64600"/>
      <c r="M64600"/>
    </row>
    <row r="64601" spans="3:13" ht="12.75" customHeight="1" x14ac:dyDescent="0.2">
      <c r="C64601"/>
      <c r="M64601"/>
    </row>
    <row r="64602" spans="3:13" ht="12.75" customHeight="1" x14ac:dyDescent="0.2">
      <c r="C64602"/>
      <c r="M64602"/>
    </row>
    <row r="64603" spans="3:13" ht="12.75" customHeight="1" x14ac:dyDescent="0.2">
      <c r="C64603"/>
      <c r="M64603"/>
    </row>
    <row r="64604" spans="3:13" ht="12.75" customHeight="1" x14ac:dyDescent="0.2">
      <c r="C64604"/>
      <c r="M64604"/>
    </row>
    <row r="64605" spans="3:13" ht="12.75" customHeight="1" x14ac:dyDescent="0.2">
      <c r="C64605"/>
      <c r="M64605"/>
    </row>
    <row r="64606" spans="3:13" ht="12.75" customHeight="1" x14ac:dyDescent="0.2">
      <c r="C64606"/>
      <c r="M64606"/>
    </row>
    <row r="64607" spans="3:13" ht="12.75" customHeight="1" x14ac:dyDescent="0.2">
      <c r="C64607"/>
      <c r="M64607"/>
    </row>
    <row r="64608" spans="3:13" ht="12.75" customHeight="1" x14ac:dyDescent="0.2">
      <c r="C64608"/>
      <c r="M64608"/>
    </row>
    <row r="64609" spans="3:13" ht="12.75" customHeight="1" x14ac:dyDescent="0.2">
      <c r="C64609"/>
      <c r="M64609"/>
    </row>
    <row r="64610" spans="3:13" ht="12.75" customHeight="1" x14ac:dyDescent="0.2">
      <c r="C64610"/>
      <c r="M64610"/>
    </row>
    <row r="64611" spans="3:13" ht="12.75" customHeight="1" x14ac:dyDescent="0.2">
      <c r="C64611"/>
      <c r="M64611"/>
    </row>
    <row r="64612" spans="3:13" ht="12.75" customHeight="1" x14ac:dyDescent="0.2">
      <c r="C64612"/>
      <c r="M64612"/>
    </row>
    <row r="64613" spans="3:13" ht="12.75" customHeight="1" x14ac:dyDescent="0.2">
      <c r="C64613"/>
      <c r="M64613"/>
    </row>
    <row r="64614" spans="3:13" ht="12.75" customHeight="1" x14ac:dyDescent="0.2">
      <c r="C64614"/>
      <c r="M64614"/>
    </row>
    <row r="64615" spans="3:13" ht="12.75" customHeight="1" x14ac:dyDescent="0.2">
      <c r="C64615"/>
      <c r="M64615"/>
    </row>
    <row r="64616" spans="3:13" ht="12.75" customHeight="1" x14ac:dyDescent="0.2">
      <c r="C64616"/>
      <c r="M64616"/>
    </row>
    <row r="64617" spans="3:13" ht="12.75" customHeight="1" x14ac:dyDescent="0.2">
      <c r="C64617"/>
      <c r="M64617"/>
    </row>
    <row r="64618" spans="3:13" ht="12.75" customHeight="1" x14ac:dyDescent="0.2">
      <c r="C64618"/>
      <c r="M64618"/>
    </row>
    <row r="64619" spans="3:13" ht="12.75" customHeight="1" x14ac:dyDescent="0.2">
      <c r="C64619"/>
      <c r="M64619"/>
    </row>
    <row r="64620" spans="3:13" ht="12.75" customHeight="1" x14ac:dyDescent="0.2">
      <c r="C64620"/>
      <c r="M64620"/>
    </row>
    <row r="64621" spans="3:13" ht="12.75" customHeight="1" x14ac:dyDescent="0.2">
      <c r="C64621"/>
      <c r="M64621"/>
    </row>
    <row r="64622" spans="3:13" ht="12.75" customHeight="1" x14ac:dyDescent="0.2">
      <c r="C64622"/>
      <c r="M64622"/>
    </row>
    <row r="64623" spans="3:13" ht="12.75" customHeight="1" x14ac:dyDescent="0.2">
      <c r="C64623"/>
      <c r="M64623"/>
    </row>
    <row r="64624" spans="3:13" ht="12.75" customHeight="1" x14ac:dyDescent="0.2">
      <c r="C64624"/>
      <c r="M64624"/>
    </row>
    <row r="64625" spans="3:13" ht="12.75" customHeight="1" x14ac:dyDescent="0.2">
      <c r="C64625"/>
      <c r="M64625"/>
    </row>
    <row r="64626" spans="3:13" ht="12.75" customHeight="1" x14ac:dyDescent="0.2">
      <c r="C64626"/>
      <c r="M64626"/>
    </row>
    <row r="64627" spans="3:13" ht="12.75" customHeight="1" x14ac:dyDescent="0.2">
      <c r="C64627"/>
      <c r="M64627"/>
    </row>
    <row r="64628" spans="3:13" ht="12.75" customHeight="1" x14ac:dyDescent="0.2">
      <c r="C64628"/>
      <c r="M64628"/>
    </row>
    <row r="64629" spans="3:13" ht="12.75" customHeight="1" x14ac:dyDescent="0.2">
      <c r="C64629"/>
      <c r="M64629"/>
    </row>
    <row r="64630" spans="3:13" ht="12.75" customHeight="1" x14ac:dyDescent="0.2">
      <c r="C64630"/>
      <c r="M64630"/>
    </row>
    <row r="64631" spans="3:13" ht="12.75" customHeight="1" x14ac:dyDescent="0.2">
      <c r="C64631"/>
      <c r="M64631"/>
    </row>
    <row r="64632" spans="3:13" ht="12.75" customHeight="1" x14ac:dyDescent="0.2">
      <c r="C64632"/>
      <c r="M64632"/>
    </row>
    <row r="64633" spans="3:13" ht="12.75" customHeight="1" x14ac:dyDescent="0.2">
      <c r="C64633"/>
      <c r="M64633"/>
    </row>
    <row r="64634" spans="3:13" ht="12.75" customHeight="1" x14ac:dyDescent="0.2">
      <c r="C64634"/>
      <c r="M64634"/>
    </row>
    <row r="64635" spans="3:13" ht="12.75" customHeight="1" x14ac:dyDescent="0.2">
      <c r="C64635"/>
      <c r="M64635"/>
    </row>
    <row r="64636" spans="3:13" ht="12.75" customHeight="1" x14ac:dyDescent="0.2">
      <c r="C64636"/>
      <c r="M64636"/>
    </row>
    <row r="64637" spans="3:13" ht="12.75" customHeight="1" x14ac:dyDescent="0.2">
      <c r="C64637"/>
      <c r="M64637"/>
    </row>
    <row r="64638" spans="3:13" ht="12.75" customHeight="1" x14ac:dyDescent="0.2">
      <c r="C64638"/>
      <c r="M64638"/>
    </row>
    <row r="64639" spans="3:13" ht="12.75" customHeight="1" x14ac:dyDescent="0.2">
      <c r="C64639"/>
      <c r="M64639"/>
    </row>
    <row r="64640" spans="3:13" ht="12.75" customHeight="1" x14ac:dyDescent="0.2">
      <c r="C64640"/>
      <c r="M64640"/>
    </row>
    <row r="64641" spans="3:13" ht="12.75" customHeight="1" x14ac:dyDescent="0.2">
      <c r="C64641"/>
      <c r="M64641"/>
    </row>
    <row r="64642" spans="3:13" ht="12.75" customHeight="1" x14ac:dyDescent="0.2">
      <c r="C64642"/>
      <c r="M64642"/>
    </row>
    <row r="64643" spans="3:13" ht="12.75" customHeight="1" x14ac:dyDescent="0.2">
      <c r="C64643"/>
      <c r="M64643"/>
    </row>
    <row r="64644" spans="3:13" ht="12.75" customHeight="1" x14ac:dyDescent="0.2">
      <c r="C64644"/>
      <c r="M64644"/>
    </row>
    <row r="64645" spans="3:13" ht="12.75" customHeight="1" x14ac:dyDescent="0.2">
      <c r="C64645"/>
      <c r="M64645"/>
    </row>
    <row r="64646" spans="3:13" ht="12.75" customHeight="1" x14ac:dyDescent="0.2">
      <c r="C64646"/>
      <c r="M64646"/>
    </row>
    <row r="64647" spans="3:13" ht="12.75" customHeight="1" x14ac:dyDescent="0.2">
      <c r="C64647"/>
      <c r="M64647"/>
    </row>
    <row r="64648" spans="3:13" ht="12.75" customHeight="1" x14ac:dyDescent="0.2">
      <c r="C64648"/>
      <c r="M64648"/>
    </row>
    <row r="64649" spans="3:13" ht="12.75" customHeight="1" x14ac:dyDescent="0.2">
      <c r="C64649"/>
      <c r="M64649"/>
    </row>
    <row r="64650" spans="3:13" ht="12.75" customHeight="1" x14ac:dyDescent="0.2">
      <c r="C64650"/>
      <c r="M64650"/>
    </row>
    <row r="64651" spans="3:13" ht="12.75" customHeight="1" x14ac:dyDescent="0.2">
      <c r="C64651"/>
      <c r="M64651"/>
    </row>
    <row r="64652" spans="3:13" ht="12.75" customHeight="1" x14ac:dyDescent="0.2">
      <c r="C64652"/>
      <c r="M64652"/>
    </row>
    <row r="64653" spans="3:13" ht="12.75" customHeight="1" x14ac:dyDescent="0.2">
      <c r="C64653"/>
      <c r="M64653"/>
    </row>
    <row r="64654" spans="3:13" ht="12.75" customHeight="1" x14ac:dyDescent="0.2">
      <c r="C64654"/>
      <c r="M64654"/>
    </row>
    <row r="64655" spans="3:13" ht="12.75" customHeight="1" x14ac:dyDescent="0.2">
      <c r="C64655"/>
      <c r="M64655"/>
    </row>
    <row r="64656" spans="3:13" ht="12.75" customHeight="1" x14ac:dyDescent="0.2">
      <c r="C64656"/>
      <c r="M64656"/>
    </row>
    <row r="64657" spans="3:13" ht="12.75" customHeight="1" x14ac:dyDescent="0.2">
      <c r="C64657"/>
      <c r="M64657"/>
    </row>
    <row r="64658" spans="3:13" ht="12.75" customHeight="1" x14ac:dyDescent="0.2">
      <c r="C64658"/>
      <c r="M64658"/>
    </row>
    <row r="64659" spans="3:13" ht="12.75" customHeight="1" x14ac:dyDescent="0.2">
      <c r="C64659"/>
      <c r="M64659"/>
    </row>
    <row r="64660" spans="3:13" ht="12.75" customHeight="1" x14ac:dyDescent="0.2">
      <c r="C64660"/>
      <c r="M64660"/>
    </row>
    <row r="64661" spans="3:13" ht="12.75" customHeight="1" x14ac:dyDescent="0.2">
      <c r="C64661"/>
      <c r="M64661"/>
    </row>
    <row r="64662" spans="3:13" ht="12.75" customHeight="1" x14ac:dyDescent="0.2">
      <c r="C64662"/>
      <c r="M64662"/>
    </row>
    <row r="64663" spans="3:13" ht="12.75" customHeight="1" x14ac:dyDescent="0.2">
      <c r="C64663"/>
      <c r="M64663"/>
    </row>
    <row r="64664" spans="3:13" ht="12.75" customHeight="1" x14ac:dyDescent="0.2">
      <c r="C64664"/>
      <c r="M64664"/>
    </row>
    <row r="64665" spans="3:13" ht="12.75" customHeight="1" x14ac:dyDescent="0.2">
      <c r="C64665"/>
      <c r="M64665"/>
    </row>
    <row r="64666" spans="3:13" ht="12.75" customHeight="1" x14ac:dyDescent="0.2">
      <c r="C64666"/>
      <c r="M64666"/>
    </row>
    <row r="64667" spans="3:13" ht="12.75" customHeight="1" x14ac:dyDescent="0.2">
      <c r="C64667"/>
      <c r="M64667"/>
    </row>
    <row r="64668" spans="3:13" ht="12.75" customHeight="1" x14ac:dyDescent="0.2">
      <c r="C64668"/>
      <c r="M64668"/>
    </row>
    <row r="64669" spans="3:13" ht="12.75" customHeight="1" x14ac:dyDescent="0.2">
      <c r="C64669"/>
      <c r="M64669"/>
    </row>
    <row r="64670" spans="3:13" ht="12.75" customHeight="1" x14ac:dyDescent="0.2">
      <c r="C64670"/>
      <c r="M64670"/>
    </row>
    <row r="64671" spans="3:13" ht="12.75" customHeight="1" x14ac:dyDescent="0.2">
      <c r="C64671"/>
      <c r="M64671"/>
    </row>
    <row r="64672" spans="3:13" ht="12.75" customHeight="1" x14ac:dyDescent="0.2">
      <c r="C64672"/>
      <c r="M64672"/>
    </row>
    <row r="64673" spans="3:13" ht="12.75" customHeight="1" x14ac:dyDescent="0.2">
      <c r="C64673"/>
      <c r="M64673"/>
    </row>
    <row r="64674" spans="3:13" ht="12.75" customHeight="1" x14ac:dyDescent="0.2">
      <c r="C64674"/>
      <c r="M64674"/>
    </row>
    <row r="64675" spans="3:13" ht="12.75" customHeight="1" x14ac:dyDescent="0.2">
      <c r="C64675"/>
      <c r="M64675"/>
    </row>
    <row r="64676" spans="3:13" ht="12.75" customHeight="1" x14ac:dyDescent="0.2">
      <c r="C64676"/>
      <c r="M64676"/>
    </row>
    <row r="64677" spans="3:13" ht="12.75" customHeight="1" x14ac:dyDescent="0.2">
      <c r="C64677"/>
      <c r="M64677"/>
    </row>
    <row r="64678" spans="3:13" ht="12.75" customHeight="1" x14ac:dyDescent="0.2">
      <c r="C64678"/>
      <c r="M64678"/>
    </row>
    <row r="64679" spans="3:13" ht="12.75" customHeight="1" x14ac:dyDescent="0.2">
      <c r="C64679"/>
      <c r="M64679"/>
    </row>
    <row r="64680" spans="3:13" ht="12.75" customHeight="1" x14ac:dyDescent="0.2">
      <c r="C64680"/>
      <c r="M64680"/>
    </row>
    <row r="64681" spans="3:13" ht="12.75" customHeight="1" x14ac:dyDescent="0.2">
      <c r="C64681"/>
      <c r="M64681"/>
    </row>
    <row r="64682" spans="3:13" ht="12.75" customHeight="1" x14ac:dyDescent="0.2">
      <c r="C64682"/>
      <c r="M64682"/>
    </row>
    <row r="64683" spans="3:13" ht="12.75" customHeight="1" x14ac:dyDescent="0.2">
      <c r="C64683"/>
      <c r="M64683"/>
    </row>
    <row r="64684" spans="3:13" ht="12.75" customHeight="1" x14ac:dyDescent="0.2">
      <c r="C64684"/>
      <c r="M64684"/>
    </row>
    <row r="64685" spans="3:13" ht="12.75" customHeight="1" x14ac:dyDescent="0.2">
      <c r="C64685"/>
      <c r="M64685"/>
    </row>
    <row r="64686" spans="3:13" ht="12.75" customHeight="1" x14ac:dyDescent="0.2">
      <c r="C64686"/>
      <c r="M64686"/>
    </row>
    <row r="64687" spans="3:13" ht="12.75" customHeight="1" x14ac:dyDescent="0.2">
      <c r="C64687"/>
      <c r="M64687"/>
    </row>
    <row r="64688" spans="3:13" ht="12.75" customHeight="1" x14ac:dyDescent="0.2">
      <c r="C64688"/>
      <c r="M64688"/>
    </row>
    <row r="64689" spans="3:13" ht="12.75" customHeight="1" x14ac:dyDescent="0.2">
      <c r="C64689"/>
      <c r="M64689"/>
    </row>
    <row r="64690" spans="3:13" ht="12.75" customHeight="1" x14ac:dyDescent="0.2">
      <c r="C64690"/>
      <c r="M64690"/>
    </row>
    <row r="64691" spans="3:13" ht="12.75" customHeight="1" x14ac:dyDescent="0.2">
      <c r="C64691"/>
      <c r="M64691"/>
    </row>
    <row r="64692" spans="3:13" ht="12.75" customHeight="1" x14ac:dyDescent="0.2">
      <c r="C64692"/>
      <c r="M64692"/>
    </row>
    <row r="64693" spans="3:13" ht="12.75" customHeight="1" x14ac:dyDescent="0.2">
      <c r="C64693"/>
      <c r="M64693"/>
    </row>
    <row r="64694" spans="3:13" ht="12.75" customHeight="1" x14ac:dyDescent="0.2">
      <c r="C64694"/>
      <c r="M64694"/>
    </row>
    <row r="64695" spans="3:13" ht="12.75" customHeight="1" x14ac:dyDescent="0.2">
      <c r="C64695"/>
      <c r="M64695"/>
    </row>
    <row r="64696" spans="3:13" ht="12.75" customHeight="1" x14ac:dyDescent="0.2">
      <c r="C64696"/>
      <c r="M64696"/>
    </row>
    <row r="64697" spans="3:13" ht="12.75" customHeight="1" x14ac:dyDescent="0.2">
      <c r="C64697"/>
      <c r="M64697"/>
    </row>
    <row r="64698" spans="3:13" ht="12.75" customHeight="1" x14ac:dyDescent="0.2">
      <c r="C64698"/>
      <c r="M64698"/>
    </row>
    <row r="64699" spans="3:13" ht="12.75" customHeight="1" x14ac:dyDescent="0.2">
      <c r="C64699"/>
      <c r="M64699"/>
    </row>
    <row r="64700" spans="3:13" ht="12.75" customHeight="1" x14ac:dyDescent="0.2">
      <c r="C64700"/>
      <c r="M64700"/>
    </row>
    <row r="64701" spans="3:13" ht="12.75" customHeight="1" x14ac:dyDescent="0.2">
      <c r="C64701"/>
      <c r="M64701"/>
    </row>
    <row r="64702" spans="3:13" ht="12.75" customHeight="1" x14ac:dyDescent="0.2">
      <c r="C64702"/>
      <c r="M64702"/>
    </row>
    <row r="64703" spans="3:13" ht="12.75" customHeight="1" x14ac:dyDescent="0.2">
      <c r="C64703"/>
      <c r="M64703"/>
    </row>
    <row r="64704" spans="3:13" ht="12.75" customHeight="1" x14ac:dyDescent="0.2">
      <c r="C64704"/>
      <c r="M64704"/>
    </row>
    <row r="64705" spans="3:13" ht="12.75" customHeight="1" x14ac:dyDescent="0.2">
      <c r="C64705"/>
      <c r="M64705"/>
    </row>
    <row r="64706" spans="3:13" ht="12.75" customHeight="1" x14ac:dyDescent="0.2">
      <c r="C64706"/>
      <c r="M64706"/>
    </row>
    <row r="64707" spans="3:13" ht="12.75" customHeight="1" x14ac:dyDescent="0.2">
      <c r="C64707"/>
      <c r="M64707"/>
    </row>
    <row r="64708" spans="3:13" ht="12.75" customHeight="1" x14ac:dyDescent="0.2">
      <c r="C64708"/>
      <c r="M64708"/>
    </row>
    <row r="64709" spans="3:13" ht="12.75" customHeight="1" x14ac:dyDescent="0.2">
      <c r="C64709"/>
      <c r="M64709"/>
    </row>
    <row r="64710" spans="3:13" ht="12.75" customHeight="1" x14ac:dyDescent="0.2">
      <c r="C64710"/>
      <c r="M64710"/>
    </row>
    <row r="64711" spans="3:13" ht="12.75" customHeight="1" x14ac:dyDescent="0.2">
      <c r="C64711"/>
      <c r="M64711"/>
    </row>
    <row r="64712" spans="3:13" ht="12.75" customHeight="1" x14ac:dyDescent="0.2">
      <c r="C64712"/>
      <c r="M64712"/>
    </row>
    <row r="64713" spans="3:13" ht="12.75" customHeight="1" x14ac:dyDescent="0.2">
      <c r="C64713"/>
      <c r="M64713"/>
    </row>
    <row r="64714" spans="3:13" ht="12.75" customHeight="1" x14ac:dyDescent="0.2">
      <c r="C64714"/>
      <c r="M64714"/>
    </row>
    <row r="64715" spans="3:13" ht="12.75" customHeight="1" x14ac:dyDescent="0.2">
      <c r="C64715"/>
      <c r="M64715"/>
    </row>
    <row r="64716" spans="3:13" ht="12.75" customHeight="1" x14ac:dyDescent="0.2">
      <c r="C64716"/>
      <c r="M64716"/>
    </row>
    <row r="64717" spans="3:13" ht="12.75" customHeight="1" x14ac:dyDescent="0.2">
      <c r="C64717"/>
      <c r="M64717"/>
    </row>
    <row r="64718" spans="3:13" ht="12.75" customHeight="1" x14ac:dyDescent="0.2">
      <c r="C64718"/>
      <c r="M64718"/>
    </row>
    <row r="64719" spans="3:13" ht="12.75" customHeight="1" x14ac:dyDescent="0.2">
      <c r="C64719"/>
      <c r="M64719"/>
    </row>
    <row r="64720" spans="3:13" ht="12.75" customHeight="1" x14ac:dyDescent="0.2">
      <c r="C64720"/>
      <c r="M64720"/>
    </row>
    <row r="64721" spans="3:13" ht="12.75" customHeight="1" x14ac:dyDescent="0.2">
      <c r="C64721"/>
      <c r="M64721"/>
    </row>
    <row r="64722" spans="3:13" ht="12.75" customHeight="1" x14ac:dyDescent="0.2">
      <c r="C64722"/>
      <c r="M64722"/>
    </row>
    <row r="64723" spans="3:13" ht="12.75" customHeight="1" x14ac:dyDescent="0.2">
      <c r="C64723"/>
      <c r="M64723"/>
    </row>
    <row r="64724" spans="3:13" ht="12.75" customHeight="1" x14ac:dyDescent="0.2">
      <c r="C64724"/>
      <c r="M64724"/>
    </row>
    <row r="64725" spans="3:13" ht="12.75" customHeight="1" x14ac:dyDescent="0.2">
      <c r="C64725"/>
      <c r="M64725"/>
    </row>
    <row r="64726" spans="3:13" ht="12.75" customHeight="1" x14ac:dyDescent="0.2">
      <c r="C64726"/>
      <c r="M64726"/>
    </row>
    <row r="64727" spans="3:13" ht="12.75" customHeight="1" x14ac:dyDescent="0.2">
      <c r="C64727"/>
      <c r="M64727"/>
    </row>
    <row r="64728" spans="3:13" ht="12.75" customHeight="1" x14ac:dyDescent="0.2">
      <c r="C64728"/>
      <c r="M64728"/>
    </row>
    <row r="64729" spans="3:13" ht="12.75" customHeight="1" x14ac:dyDescent="0.2">
      <c r="C64729"/>
      <c r="M64729"/>
    </row>
    <row r="64730" spans="3:13" ht="12.75" customHeight="1" x14ac:dyDescent="0.2">
      <c r="C64730"/>
      <c r="M64730"/>
    </row>
    <row r="64731" spans="3:13" ht="12.75" customHeight="1" x14ac:dyDescent="0.2">
      <c r="C64731"/>
      <c r="M64731"/>
    </row>
    <row r="64732" spans="3:13" ht="12.75" customHeight="1" x14ac:dyDescent="0.2">
      <c r="C64732"/>
      <c r="M64732"/>
    </row>
    <row r="64733" spans="3:13" ht="12.75" customHeight="1" x14ac:dyDescent="0.2">
      <c r="C64733"/>
      <c r="M64733"/>
    </row>
    <row r="64734" spans="3:13" ht="12.75" customHeight="1" x14ac:dyDescent="0.2">
      <c r="C64734"/>
      <c r="M64734"/>
    </row>
    <row r="64735" spans="3:13" ht="12.75" customHeight="1" x14ac:dyDescent="0.2">
      <c r="C64735"/>
      <c r="M64735"/>
    </row>
    <row r="64736" spans="3:13" ht="12.75" customHeight="1" x14ac:dyDescent="0.2">
      <c r="C64736"/>
      <c r="M64736"/>
    </row>
    <row r="64737" spans="3:13" ht="12.75" customHeight="1" x14ac:dyDescent="0.2">
      <c r="C64737"/>
      <c r="M64737"/>
    </row>
    <row r="64738" spans="3:13" ht="12.75" customHeight="1" x14ac:dyDescent="0.2">
      <c r="C64738"/>
      <c r="M64738"/>
    </row>
    <row r="64739" spans="3:13" ht="12.75" customHeight="1" x14ac:dyDescent="0.2">
      <c r="C64739"/>
      <c r="M64739"/>
    </row>
    <row r="64740" spans="3:13" ht="12.75" customHeight="1" x14ac:dyDescent="0.2">
      <c r="C64740"/>
      <c r="M64740"/>
    </row>
    <row r="64741" spans="3:13" ht="12.75" customHeight="1" x14ac:dyDescent="0.2">
      <c r="C64741"/>
      <c r="M64741"/>
    </row>
    <row r="64742" spans="3:13" ht="12.75" customHeight="1" x14ac:dyDescent="0.2">
      <c r="C64742"/>
      <c r="M64742"/>
    </row>
    <row r="64743" spans="3:13" ht="12.75" customHeight="1" x14ac:dyDescent="0.2">
      <c r="C64743"/>
      <c r="M64743"/>
    </row>
    <row r="64744" spans="3:13" ht="12.75" customHeight="1" x14ac:dyDescent="0.2">
      <c r="C64744"/>
      <c r="M64744"/>
    </row>
    <row r="64745" spans="3:13" ht="12.75" customHeight="1" x14ac:dyDescent="0.2">
      <c r="C64745"/>
      <c r="M64745"/>
    </row>
    <row r="64746" spans="3:13" ht="12.75" customHeight="1" x14ac:dyDescent="0.2">
      <c r="C64746"/>
      <c r="M64746"/>
    </row>
    <row r="64747" spans="3:13" ht="12.75" customHeight="1" x14ac:dyDescent="0.2">
      <c r="C64747"/>
      <c r="M64747"/>
    </row>
    <row r="64748" spans="3:13" ht="12.75" customHeight="1" x14ac:dyDescent="0.2">
      <c r="C64748"/>
      <c r="M64748"/>
    </row>
    <row r="64749" spans="3:13" ht="12.75" customHeight="1" x14ac:dyDescent="0.2">
      <c r="C64749"/>
      <c r="M64749"/>
    </row>
    <row r="64750" spans="3:13" ht="12.75" customHeight="1" x14ac:dyDescent="0.2">
      <c r="C64750"/>
      <c r="M64750"/>
    </row>
    <row r="64751" spans="3:13" ht="12.75" customHeight="1" x14ac:dyDescent="0.2">
      <c r="C64751"/>
      <c r="M64751"/>
    </row>
    <row r="64752" spans="3:13" ht="12.75" customHeight="1" x14ac:dyDescent="0.2">
      <c r="C64752"/>
      <c r="M64752"/>
    </row>
    <row r="64753" spans="3:13" ht="12.75" customHeight="1" x14ac:dyDescent="0.2">
      <c r="C64753"/>
      <c r="M64753"/>
    </row>
    <row r="64754" spans="3:13" ht="12.75" customHeight="1" x14ac:dyDescent="0.2">
      <c r="C64754"/>
      <c r="M64754"/>
    </row>
    <row r="64755" spans="3:13" ht="12.75" customHeight="1" x14ac:dyDescent="0.2">
      <c r="C64755"/>
      <c r="M64755"/>
    </row>
    <row r="64756" spans="3:13" ht="12.75" customHeight="1" x14ac:dyDescent="0.2">
      <c r="C64756"/>
      <c r="M64756"/>
    </row>
    <row r="64757" spans="3:13" ht="12.75" customHeight="1" x14ac:dyDescent="0.2">
      <c r="C64757"/>
      <c r="M64757"/>
    </row>
    <row r="64758" spans="3:13" ht="12.75" customHeight="1" x14ac:dyDescent="0.2">
      <c r="C64758"/>
      <c r="M64758"/>
    </row>
    <row r="64759" spans="3:13" ht="12.75" customHeight="1" x14ac:dyDescent="0.2">
      <c r="C64759"/>
      <c r="M64759"/>
    </row>
    <row r="64760" spans="3:13" ht="12.75" customHeight="1" x14ac:dyDescent="0.2">
      <c r="C64760"/>
      <c r="M64760"/>
    </row>
    <row r="64761" spans="3:13" ht="12.75" customHeight="1" x14ac:dyDescent="0.2">
      <c r="C64761"/>
      <c r="M64761"/>
    </row>
    <row r="64762" spans="3:13" ht="12.75" customHeight="1" x14ac:dyDescent="0.2">
      <c r="C64762"/>
      <c r="M64762"/>
    </row>
    <row r="64763" spans="3:13" ht="12.75" customHeight="1" x14ac:dyDescent="0.2">
      <c r="C64763"/>
      <c r="M64763"/>
    </row>
    <row r="64764" spans="3:13" ht="12.75" customHeight="1" x14ac:dyDescent="0.2">
      <c r="C64764"/>
      <c r="M64764"/>
    </row>
    <row r="64765" spans="3:13" ht="12.75" customHeight="1" x14ac:dyDescent="0.2">
      <c r="C64765"/>
      <c r="M64765"/>
    </row>
    <row r="64766" spans="3:13" ht="12.75" customHeight="1" x14ac:dyDescent="0.2">
      <c r="C64766"/>
      <c r="M64766"/>
    </row>
    <row r="64767" spans="3:13" ht="12.75" customHeight="1" x14ac:dyDescent="0.2">
      <c r="C64767"/>
      <c r="M64767"/>
    </row>
    <row r="64768" spans="3:13" ht="12.75" customHeight="1" x14ac:dyDescent="0.2">
      <c r="C64768"/>
      <c r="M64768"/>
    </row>
    <row r="64769" spans="3:13" ht="12.75" customHeight="1" x14ac:dyDescent="0.2">
      <c r="C64769"/>
      <c r="M64769"/>
    </row>
    <row r="64770" spans="3:13" ht="12.75" customHeight="1" x14ac:dyDescent="0.2">
      <c r="C64770"/>
      <c r="M64770"/>
    </row>
    <row r="64771" spans="3:13" ht="12.75" customHeight="1" x14ac:dyDescent="0.2">
      <c r="C64771"/>
      <c r="M64771"/>
    </row>
    <row r="64772" spans="3:13" ht="12.75" customHeight="1" x14ac:dyDescent="0.2">
      <c r="C64772"/>
      <c r="M64772"/>
    </row>
    <row r="64773" spans="3:13" ht="12.75" customHeight="1" x14ac:dyDescent="0.2">
      <c r="C64773"/>
      <c r="M64773"/>
    </row>
    <row r="64774" spans="3:13" ht="12.75" customHeight="1" x14ac:dyDescent="0.2">
      <c r="C64774"/>
      <c r="M64774"/>
    </row>
    <row r="64775" spans="3:13" ht="12.75" customHeight="1" x14ac:dyDescent="0.2">
      <c r="C64775"/>
      <c r="M64775"/>
    </row>
    <row r="64776" spans="3:13" ht="12.75" customHeight="1" x14ac:dyDescent="0.2">
      <c r="C64776"/>
      <c r="M64776"/>
    </row>
    <row r="64777" spans="3:13" ht="12.75" customHeight="1" x14ac:dyDescent="0.2">
      <c r="C64777"/>
      <c r="M64777"/>
    </row>
    <row r="64778" spans="3:13" ht="12.75" customHeight="1" x14ac:dyDescent="0.2">
      <c r="C64778"/>
      <c r="M64778"/>
    </row>
    <row r="64779" spans="3:13" ht="12.75" customHeight="1" x14ac:dyDescent="0.2">
      <c r="C64779"/>
      <c r="M64779"/>
    </row>
    <row r="64780" spans="3:13" ht="12.75" customHeight="1" x14ac:dyDescent="0.2">
      <c r="C64780"/>
      <c r="M64780"/>
    </row>
    <row r="64781" spans="3:13" ht="12.75" customHeight="1" x14ac:dyDescent="0.2">
      <c r="C64781"/>
      <c r="M64781"/>
    </row>
    <row r="64782" spans="3:13" ht="12.75" customHeight="1" x14ac:dyDescent="0.2">
      <c r="C64782"/>
      <c r="M64782"/>
    </row>
    <row r="64783" spans="3:13" ht="12.75" customHeight="1" x14ac:dyDescent="0.2">
      <c r="C64783"/>
      <c r="M64783"/>
    </row>
    <row r="64784" spans="3:13" ht="12.75" customHeight="1" x14ac:dyDescent="0.2">
      <c r="C64784"/>
      <c r="M64784"/>
    </row>
    <row r="64785" spans="3:13" ht="12.75" customHeight="1" x14ac:dyDescent="0.2">
      <c r="C64785"/>
      <c r="M64785"/>
    </row>
    <row r="64786" spans="3:13" ht="12.75" customHeight="1" x14ac:dyDescent="0.2">
      <c r="C64786"/>
      <c r="M64786"/>
    </row>
    <row r="64787" spans="3:13" ht="12.75" customHeight="1" x14ac:dyDescent="0.2">
      <c r="C64787"/>
      <c r="M64787"/>
    </row>
    <row r="64788" spans="3:13" ht="12.75" customHeight="1" x14ac:dyDescent="0.2">
      <c r="C64788"/>
      <c r="M64788"/>
    </row>
    <row r="64789" spans="3:13" ht="12.75" customHeight="1" x14ac:dyDescent="0.2">
      <c r="C64789"/>
      <c r="M64789"/>
    </row>
    <row r="64790" spans="3:13" ht="12.75" customHeight="1" x14ac:dyDescent="0.2">
      <c r="C64790"/>
      <c r="M64790"/>
    </row>
    <row r="64791" spans="3:13" ht="12.75" customHeight="1" x14ac:dyDescent="0.2">
      <c r="C64791"/>
      <c r="M64791"/>
    </row>
    <row r="64792" spans="3:13" ht="12.75" customHeight="1" x14ac:dyDescent="0.2">
      <c r="C64792"/>
      <c r="M64792"/>
    </row>
    <row r="64793" spans="3:13" ht="12.75" customHeight="1" x14ac:dyDescent="0.2">
      <c r="C64793"/>
      <c r="M64793"/>
    </row>
    <row r="64794" spans="3:13" ht="12.75" customHeight="1" x14ac:dyDescent="0.2">
      <c r="C64794"/>
      <c r="M64794"/>
    </row>
    <row r="64795" spans="3:13" ht="12.75" customHeight="1" x14ac:dyDescent="0.2">
      <c r="C64795"/>
      <c r="M64795"/>
    </row>
    <row r="64796" spans="3:13" ht="12.75" customHeight="1" x14ac:dyDescent="0.2">
      <c r="C64796"/>
      <c r="M64796"/>
    </row>
    <row r="64797" spans="3:13" ht="12.75" customHeight="1" x14ac:dyDescent="0.2">
      <c r="C64797"/>
      <c r="M64797"/>
    </row>
    <row r="64798" spans="3:13" ht="12.75" customHeight="1" x14ac:dyDescent="0.2">
      <c r="C64798"/>
      <c r="M64798"/>
    </row>
    <row r="64799" spans="3:13" ht="12.75" customHeight="1" x14ac:dyDescent="0.2">
      <c r="C64799"/>
      <c r="M64799"/>
    </row>
    <row r="64800" spans="3:13" ht="12.75" customHeight="1" x14ac:dyDescent="0.2">
      <c r="C64800"/>
      <c r="M64800"/>
    </row>
    <row r="64801" spans="3:13" ht="12.75" customHeight="1" x14ac:dyDescent="0.2">
      <c r="C64801"/>
      <c r="M64801"/>
    </row>
    <row r="64802" spans="3:13" ht="12.75" customHeight="1" x14ac:dyDescent="0.2">
      <c r="C64802"/>
      <c r="M64802"/>
    </row>
    <row r="64803" spans="3:13" ht="12.75" customHeight="1" x14ac:dyDescent="0.2">
      <c r="C64803"/>
      <c r="M64803"/>
    </row>
    <row r="64804" spans="3:13" ht="12.75" customHeight="1" x14ac:dyDescent="0.2">
      <c r="C64804"/>
      <c r="M64804"/>
    </row>
    <row r="64805" spans="3:13" ht="12.75" customHeight="1" x14ac:dyDescent="0.2">
      <c r="C64805"/>
      <c r="M64805"/>
    </row>
    <row r="64806" spans="3:13" ht="12.75" customHeight="1" x14ac:dyDescent="0.2">
      <c r="C64806"/>
      <c r="M64806"/>
    </row>
    <row r="64807" spans="3:13" ht="12.75" customHeight="1" x14ac:dyDescent="0.2">
      <c r="C64807"/>
      <c r="M64807"/>
    </row>
    <row r="64808" spans="3:13" ht="12.75" customHeight="1" x14ac:dyDescent="0.2">
      <c r="C64808"/>
      <c r="M64808"/>
    </row>
    <row r="64809" spans="3:13" ht="12.75" customHeight="1" x14ac:dyDescent="0.2">
      <c r="C64809"/>
      <c r="M64809"/>
    </row>
    <row r="64810" spans="3:13" ht="12.75" customHeight="1" x14ac:dyDescent="0.2">
      <c r="C64810"/>
      <c r="M64810"/>
    </row>
    <row r="64811" spans="3:13" ht="12.75" customHeight="1" x14ac:dyDescent="0.2">
      <c r="C64811"/>
      <c r="M64811"/>
    </row>
    <row r="64812" spans="3:13" ht="12.75" customHeight="1" x14ac:dyDescent="0.2">
      <c r="C64812"/>
      <c r="M64812"/>
    </row>
    <row r="64813" spans="3:13" ht="12.75" customHeight="1" x14ac:dyDescent="0.2">
      <c r="C64813"/>
      <c r="M64813"/>
    </row>
    <row r="64814" spans="3:13" ht="12.75" customHeight="1" x14ac:dyDescent="0.2">
      <c r="C64814"/>
      <c r="M64814"/>
    </row>
    <row r="64815" spans="3:13" ht="12.75" customHeight="1" x14ac:dyDescent="0.2">
      <c r="C64815"/>
      <c r="M64815"/>
    </row>
    <row r="64816" spans="3:13" ht="12.75" customHeight="1" x14ac:dyDescent="0.2">
      <c r="C64816"/>
      <c r="M64816"/>
    </row>
    <row r="64817" spans="3:13" ht="12.75" customHeight="1" x14ac:dyDescent="0.2">
      <c r="C64817"/>
      <c r="M64817"/>
    </row>
    <row r="64818" spans="3:13" ht="12.75" customHeight="1" x14ac:dyDescent="0.2">
      <c r="C64818"/>
      <c r="M64818"/>
    </row>
    <row r="64819" spans="3:13" ht="12.75" customHeight="1" x14ac:dyDescent="0.2">
      <c r="C64819"/>
      <c r="M64819"/>
    </row>
    <row r="64820" spans="3:13" ht="12.75" customHeight="1" x14ac:dyDescent="0.2">
      <c r="C64820"/>
      <c r="M64820"/>
    </row>
    <row r="64821" spans="3:13" ht="12.75" customHeight="1" x14ac:dyDescent="0.2">
      <c r="C64821"/>
      <c r="M64821"/>
    </row>
    <row r="64822" spans="3:13" ht="12.75" customHeight="1" x14ac:dyDescent="0.2">
      <c r="C64822"/>
      <c r="M64822"/>
    </row>
    <row r="64823" spans="3:13" ht="12.75" customHeight="1" x14ac:dyDescent="0.2">
      <c r="C64823"/>
      <c r="M64823"/>
    </row>
    <row r="64824" spans="3:13" ht="12.75" customHeight="1" x14ac:dyDescent="0.2">
      <c r="C64824"/>
      <c r="M64824"/>
    </row>
    <row r="64825" spans="3:13" ht="12.75" customHeight="1" x14ac:dyDescent="0.2">
      <c r="C64825"/>
      <c r="M64825"/>
    </row>
    <row r="64826" spans="3:13" ht="12.75" customHeight="1" x14ac:dyDescent="0.2">
      <c r="C64826"/>
      <c r="M64826"/>
    </row>
    <row r="64827" spans="3:13" ht="12.75" customHeight="1" x14ac:dyDescent="0.2">
      <c r="C64827"/>
      <c r="M64827"/>
    </row>
    <row r="64828" spans="3:13" ht="12.75" customHeight="1" x14ac:dyDescent="0.2">
      <c r="C64828"/>
      <c r="M64828"/>
    </row>
    <row r="64829" spans="3:13" ht="12.75" customHeight="1" x14ac:dyDescent="0.2">
      <c r="C64829"/>
      <c r="M64829"/>
    </row>
    <row r="64830" spans="3:13" ht="12.75" customHeight="1" x14ac:dyDescent="0.2">
      <c r="C64830"/>
      <c r="M64830"/>
    </row>
    <row r="64831" spans="3:13" ht="12.75" customHeight="1" x14ac:dyDescent="0.2">
      <c r="C64831"/>
      <c r="M64831"/>
    </row>
    <row r="64832" spans="3:13" ht="12.75" customHeight="1" x14ac:dyDescent="0.2">
      <c r="C64832"/>
      <c r="M64832"/>
    </row>
    <row r="64833" spans="3:13" ht="12.75" customHeight="1" x14ac:dyDescent="0.2">
      <c r="C64833"/>
      <c r="M64833"/>
    </row>
    <row r="64834" spans="3:13" ht="12.75" customHeight="1" x14ac:dyDescent="0.2">
      <c r="C64834"/>
      <c r="M64834"/>
    </row>
    <row r="64835" spans="3:13" ht="12.75" customHeight="1" x14ac:dyDescent="0.2">
      <c r="C64835"/>
      <c r="M64835"/>
    </row>
    <row r="64836" spans="3:13" ht="12.75" customHeight="1" x14ac:dyDescent="0.2">
      <c r="C64836"/>
      <c r="M64836"/>
    </row>
    <row r="64837" spans="3:13" ht="12.75" customHeight="1" x14ac:dyDescent="0.2">
      <c r="C64837"/>
      <c r="M64837"/>
    </row>
    <row r="64838" spans="3:13" ht="12.75" customHeight="1" x14ac:dyDescent="0.2">
      <c r="C64838"/>
      <c r="M64838"/>
    </row>
    <row r="64839" spans="3:13" ht="12.75" customHeight="1" x14ac:dyDescent="0.2">
      <c r="C64839"/>
      <c r="M64839"/>
    </row>
    <row r="64840" spans="3:13" ht="12.75" customHeight="1" x14ac:dyDescent="0.2">
      <c r="C64840"/>
      <c r="M64840"/>
    </row>
    <row r="64841" spans="3:13" ht="12.75" customHeight="1" x14ac:dyDescent="0.2">
      <c r="C64841"/>
      <c r="M64841"/>
    </row>
    <row r="64842" spans="3:13" ht="12.75" customHeight="1" x14ac:dyDescent="0.2">
      <c r="C64842"/>
      <c r="M64842"/>
    </row>
    <row r="64843" spans="3:13" ht="12.75" customHeight="1" x14ac:dyDescent="0.2">
      <c r="C64843"/>
      <c r="M64843"/>
    </row>
    <row r="64844" spans="3:13" ht="12.75" customHeight="1" x14ac:dyDescent="0.2">
      <c r="C64844"/>
      <c r="M64844"/>
    </row>
    <row r="64845" spans="3:13" ht="12.75" customHeight="1" x14ac:dyDescent="0.2">
      <c r="C64845"/>
      <c r="M64845"/>
    </row>
    <row r="64846" spans="3:13" ht="12.75" customHeight="1" x14ac:dyDescent="0.2">
      <c r="C64846"/>
      <c r="M64846"/>
    </row>
    <row r="64847" spans="3:13" ht="12.75" customHeight="1" x14ac:dyDescent="0.2">
      <c r="C64847"/>
      <c r="M64847"/>
    </row>
    <row r="64848" spans="3:13" ht="12.75" customHeight="1" x14ac:dyDescent="0.2">
      <c r="C64848"/>
      <c r="M64848"/>
    </row>
    <row r="64849" spans="3:13" ht="12.75" customHeight="1" x14ac:dyDescent="0.2">
      <c r="C64849"/>
      <c r="M64849"/>
    </row>
    <row r="64850" spans="3:13" ht="12.75" customHeight="1" x14ac:dyDescent="0.2">
      <c r="C64850"/>
      <c r="M64850"/>
    </row>
    <row r="64851" spans="3:13" ht="12.75" customHeight="1" x14ac:dyDescent="0.2">
      <c r="C64851"/>
      <c r="M64851"/>
    </row>
    <row r="64852" spans="3:13" ht="12.75" customHeight="1" x14ac:dyDescent="0.2">
      <c r="C64852"/>
      <c r="M64852"/>
    </row>
    <row r="64853" spans="3:13" ht="12.75" customHeight="1" x14ac:dyDescent="0.2">
      <c r="C64853"/>
      <c r="M64853"/>
    </row>
    <row r="64854" spans="3:13" ht="12.75" customHeight="1" x14ac:dyDescent="0.2">
      <c r="C64854"/>
      <c r="M64854"/>
    </row>
    <row r="64855" spans="3:13" ht="12.75" customHeight="1" x14ac:dyDescent="0.2">
      <c r="C64855"/>
      <c r="M64855"/>
    </row>
    <row r="64856" spans="3:13" ht="12.75" customHeight="1" x14ac:dyDescent="0.2">
      <c r="C64856"/>
      <c r="M64856"/>
    </row>
    <row r="64857" spans="3:13" ht="12.75" customHeight="1" x14ac:dyDescent="0.2">
      <c r="C64857"/>
      <c r="M64857"/>
    </row>
    <row r="64858" spans="3:13" ht="12.75" customHeight="1" x14ac:dyDescent="0.2">
      <c r="C64858"/>
      <c r="M64858"/>
    </row>
    <row r="64859" spans="3:13" ht="12.75" customHeight="1" x14ac:dyDescent="0.2">
      <c r="C64859"/>
      <c r="M64859"/>
    </row>
    <row r="64860" spans="3:13" ht="12.75" customHeight="1" x14ac:dyDescent="0.2">
      <c r="C64860"/>
      <c r="M64860"/>
    </row>
    <row r="64861" spans="3:13" ht="12.75" customHeight="1" x14ac:dyDescent="0.2">
      <c r="C64861"/>
      <c r="M64861"/>
    </row>
    <row r="64862" spans="3:13" ht="12.75" customHeight="1" x14ac:dyDescent="0.2">
      <c r="C64862"/>
      <c r="M64862"/>
    </row>
    <row r="64863" spans="3:13" ht="12.75" customHeight="1" x14ac:dyDescent="0.2">
      <c r="C64863"/>
      <c r="M64863"/>
    </row>
    <row r="64864" spans="3:13" ht="12.75" customHeight="1" x14ac:dyDescent="0.2">
      <c r="C64864"/>
      <c r="M64864"/>
    </row>
    <row r="64865" spans="3:13" ht="12.75" customHeight="1" x14ac:dyDescent="0.2">
      <c r="C64865"/>
      <c r="M64865"/>
    </row>
    <row r="64866" spans="3:13" ht="12.75" customHeight="1" x14ac:dyDescent="0.2">
      <c r="C64866"/>
      <c r="M64866"/>
    </row>
    <row r="64867" spans="3:13" ht="12.75" customHeight="1" x14ac:dyDescent="0.2">
      <c r="C64867"/>
      <c r="M64867"/>
    </row>
    <row r="64868" spans="3:13" ht="12.75" customHeight="1" x14ac:dyDescent="0.2">
      <c r="C64868"/>
      <c r="M64868"/>
    </row>
    <row r="64869" spans="3:13" ht="12.75" customHeight="1" x14ac:dyDescent="0.2">
      <c r="C64869"/>
      <c r="M64869"/>
    </row>
    <row r="64870" spans="3:13" ht="12.75" customHeight="1" x14ac:dyDescent="0.2">
      <c r="C64870"/>
      <c r="M64870"/>
    </row>
    <row r="64871" spans="3:13" ht="12.75" customHeight="1" x14ac:dyDescent="0.2">
      <c r="C64871"/>
      <c r="M64871"/>
    </row>
    <row r="64872" spans="3:13" ht="12.75" customHeight="1" x14ac:dyDescent="0.2">
      <c r="C64872"/>
      <c r="M64872"/>
    </row>
    <row r="64873" spans="3:13" ht="12.75" customHeight="1" x14ac:dyDescent="0.2">
      <c r="C64873"/>
      <c r="M64873"/>
    </row>
    <row r="64874" spans="3:13" ht="12.75" customHeight="1" x14ac:dyDescent="0.2">
      <c r="C64874"/>
      <c r="M64874"/>
    </row>
    <row r="64875" spans="3:13" ht="12.75" customHeight="1" x14ac:dyDescent="0.2">
      <c r="C64875"/>
      <c r="M64875"/>
    </row>
    <row r="64876" spans="3:13" ht="12.75" customHeight="1" x14ac:dyDescent="0.2">
      <c r="C64876"/>
      <c r="M64876"/>
    </row>
    <row r="64877" spans="3:13" ht="12.75" customHeight="1" x14ac:dyDescent="0.2">
      <c r="C64877"/>
      <c r="M64877"/>
    </row>
    <row r="64878" spans="3:13" ht="12.75" customHeight="1" x14ac:dyDescent="0.2">
      <c r="C64878"/>
      <c r="M64878"/>
    </row>
    <row r="64879" spans="3:13" ht="12.75" customHeight="1" x14ac:dyDescent="0.2">
      <c r="C64879"/>
      <c r="M64879"/>
    </row>
    <row r="64880" spans="3:13" ht="12.75" customHeight="1" x14ac:dyDescent="0.2">
      <c r="C64880"/>
      <c r="M64880"/>
    </row>
    <row r="64881" spans="3:13" ht="12.75" customHeight="1" x14ac:dyDescent="0.2">
      <c r="C64881"/>
      <c r="M64881"/>
    </row>
    <row r="64882" spans="3:13" ht="12.75" customHeight="1" x14ac:dyDescent="0.2">
      <c r="C64882"/>
      <c r="M64882"/>
    </row>
    <row r="64883" spans="3:13" ht="12.75" customHeight="1" x14ac:dyDescent="0.2">
      <c r="C64883"/>
      <c r="M64883"/>
    </row>
    <row r="64884" spans="3:13" ht="12.75" customHeight="1" x14ac:dyDescent="0.2">
      <c r="C64884"/>
      <c r="M64884"/>
    </row>
    <row r="64885" spans="3:13" ht="12.75" customHeight="1" x14ac:dyDescent="0.2">
      <c r="C64885"/>
      <c r="M64885"/>
    </row>
    <row r="64886" spans="3:13" ht="12.75" customHeight="1" x14ac:dyDescent="0.2">
      <c r="C64886"/>
      <c r="M64886"/>
    </row>
    <row r="64887" spans="3:13" ht="12.75" customHeight="1" x14ac:dyDescent="0.2">
      <c r="C64887"/>
      <c r="M64887"/>
    </row>
    <row r="64888" spans="3:13" ht="12.75" customHeight="1" x14ac:dyDescent="0.2">
      <c r="C64888"/>
      <c r="M64888"/>
    </row>
    <row r="64889" spans="3:13" ht="12.75" customHeight="1" x14ac:dyDescent="0.2">
      <c r="C64889"/>
      <c r="M64889"/>
    </row>
    <row r="64890" spans="3:13" ht="12.75" customHeight="1" x14ac:dyDescent="0.2">
      <c r="C64890"/>
      <c r="M64890"/>
    </row>
    <row r="64891" spans="3:13" ht="12.75" customHeight="1" x14ac:dyDescent="0.2">
      <c r="C64891"/>
      <c r="M64891"/>
    </row>
    <row r="64892" spans="3:13" ht="12.75" customHeight="1" x14ac:dyDescent="0.2">
      <c r="C64892"/>
      <c r="M64892"/>
    </row>
    <row r="64893" spans="3:13" ht="12.75" customHeight="1" x14ac:dyDescent="0.2">
      <c r="C64893"/>
      <c r="M64893"/>
    </row>
    <row r="64894" spans="3:13" ht="12.75" customHeight="1" x14ac:dyDescent="0.2">
      <c r="C64894"/>
      <c r="M64894"/>
    </row>
    <row r="64895" spans="3:13" ht="12.75" customHeight="1" x14ac:dyDescent="0.2">
      <c r="C64895"/>
      <c r="M64895"/>
    </row>
    <row r="64896" spans="3:13" ht="12.75" customHeight="1" x14ac:dyDescent="0.2">
      <c r="C64896"/>
      <c r="M64896"/>
    </row>
    <row r="64897" spans="3:13" ht="12.75" customHeight="1" x14ac:dyDescent="0.2">
      <c r="C64897"/>
      <c r="M64897"/>
    </row>
    <row r="64898" spans="3:13" ht="12.75" customHeight="1" x14ac:dyDescent="0.2">
      <c r="C64898"/>
      <c r="M64898"/>
    </row>
    <row r="64899" spans="3:13" ht="12.75" customHeight="1" x14ac:dyDescent="0.2">
      <c r="C64899"/>
      <c r="M64899"/>
    </row>
    <row r="64900" spans="3:13" ht="12.75" customHeight="1" x14ac:dyDescent="0.2">
      <c r="C64900"/>
      <c r="M64900"/>
    </row>
    <row r="64901" spans="3:13" ht="12.75" customHeight="1" x14ac:dyDescent="0.2">
      <c r="C64901"/>
      <c r="M64901"/>
    </row>
    <row r="64902" spans="3:13" ht="12.75" customHeight="1" x14ac:dyDescent="0.2">
      <c r="C64902"/>
      <c r="M64902"/>
    </row>
    <row r="64903" spans="3:13" ht="12.75" customHeight="1" x14ac:dyDescent="0.2">
      <c r="C64903"/>
      <c r="M64903"/>
    </row>
    <row r="64904" spans="3:13" ht="12.75" customHeight="1" x14ac:dyDescent="0.2">
      <c r="C64904"/>
      <c r="M64904"/>
    </row>
    <row r="64905" spans="3:13" ht="12.75" customHeight="1" x14ac:dyDescent="0.2">
      <c r="C64905"/>
      <c r="M64905"/>
    </row>
    <row r="64906" spans="3:13" ht="12.75" customHeight="1" x14ac:dyDescent="0.2">
      <c r="C64906"/>
      <c r="M64906"/>
    </row>
    <row r="64907" spans="3:13" ht="12.75" customHeight="1" x14ac:dyDescent="0.2">
      <c r="C64907"/>
      <c r="M64907"/>
    </row>
    <row r="64908" spans="3:13" ht="12.75" customHeight="1" x14ac:dyDescent="0.2">
      <c r="C64908"/>
      <c r="M64908"/>
    </row>
    <row r="64909" spans="3:13" ht="12.75" customHeight="1" x14ac:dyDescent="0.2">
      <c r="C64909"/>
      <c r="M64909"/>
    </row>
    <row r="64910" spans="3:13" ht="12.75" customHeight="1" x14ac:dyDescent="0.2">
      <c r="C64910"/>
      <c r="M64910"/>
    </row>
    <row r="64911" spans="3:13" ht="12.75" customHeight="1" x14ac:dyDescent="0.2">
      <c r="C64911"/>
      <c r="M64911"/>
    </row>
    <row r="64912" spans="3:13" ht="12.75" customHeight="1" x14ac:dyDescent="0.2">
      <c r="C64912"/>
      <c r="M64912"/>
    </row>
    <row r="64913" spans="3:13" ht="12.75" customHeight="1" x14ac:dyDescent="0.2">
      <c r="C64913"/>
      <c r="M64913"/>
    </row>
    <row r="64914" spans="3:13" ht="12.75" customHeight="1" x14ac:dyDescent="0.2">
      <c r="C64914"/>
      <c r="M64914"/>
    </row>
    <row r="64915" spans="3:13" ht="12.75" customHeight="1" x14ac:dyDescent="0.2">
      <c r="C64915"/>
      <c r="M64915"/>
    </row>
    <row r="64916" spans="3:13" ht="12.75" customHeight="1" x14ac:dyDescent="0.2">
      <c r="C64916"/>
      <c r="M64916"/>
    </row>
    <row r="64917" spans="3:13" ht="12.75" customHeight="1" x14ac:dyDescent="0.2">
      <c r="C64917"/>
      <c r="M64917"/>
    </row>
    <row r="64918" spans="3:13" ht="12.75" customHeight="1" x14ac:dyDescent="0.2">
      <c r="C64918"/>
      <c r="M64918"/>
    </row>
    <row r="64919" spans="3:13" ht="12.75" customHeight="1" x14ac:dyDescent="0.2">
      <c r="C64919"/>
      <c r="M64919"/>
    </row>
    <row r="64920" spans="3:13" ht="12.75" customHeight="1" x14ac:dyDescent="0.2">
      <c r="C64920"/>
      <c r="M64920"/>
    </row>
    <row r="64921" spans="3:13" ht="12.75" customHeight="1" x14ac:dyDescent="0.2">
      <c r="C64921"/>
      <c r="M64921"/>
    </row>
    <row r="64922" spans="3:13" ht="12.75" customHeight="1" x14ac:dyDescent="0.2">
      <c r="C64922"/>
      <c r="M64922"/>
    </row>
    <row r="64923" spans="3:13" ht="12.75" customHeight="1" x14ac:dyDescent="0.2">
      <c r="C64923"/>
      <c r="M64923"/>
    </row>
    <row r="64924" spans="3:13" ht="12.75" customHeight="1" x14ac:dyDescent="0.2">
      <c r="C64924"/>
      <c r="M64924"/>
    </row>
    <row r="64925" spans="3:13" ht="12.75" customHeight="1" x14ac:dyDescent="0.2">
      <c r="C64925"/>
      <c r="M64925"/>
    </row>
    <row r="64926" spans="3:13" ht="12.75" customHeight="1" x14ac:dyDescent="0.2">
      <c r="C64926"/>
      <c r="M64926"/>
    </row>
    <row r="64927" spans="3:13" ht="12.75" customHeight="1" x14ac:dyDescent="0.2">
      <c r="C64927"/>
      <c r="M64927"/>
    </row>
    <row r="64928" spans="3:13" ht="12.75" customHeight="1" x14ac:dyDescent="0.2">
      <c r="C64928"/>
      <c r="M64928"/>
    </row>
    <row r="64929" spans="3:13" ht="12.75" customHeight="1" x14ac:dyDescent="0.2">
      <c r="C64929"/>
      <c r="M64929"/>
    </row>
    <row r="64930" spans="3:13" ht="12.75" customHeight="1" x14ac:dyDescent="0.2">
      <c r="C64930"/>
      <c r="M64930"/>
    </row>
    <row r="64931" spans="3:13" ht="12.75" customHeight="1" x14ac:dyDescent="0.2">
      <c r="C64931"/>
      <c r="M64931"/>
    </row>
    <row r="64932" spans="3:13" ht="12.75" customHeight="1" x14ac:dyDescent="0.2">
      <c r="C64932"/>
      <c r="M64932"/>
    </row>
    <row r="64933" spans="3:13" ht="12.75" customHeight="1" x14ac:dyDescent="0.2">
      <c r="C64933"/>
      <c r="M64933"/>
    </row>
    <row r="64934" spans="3:13" ht="12.75" customHeight="1" x14ac:dyDescent="0.2">
      <c r="C64934"/>
      <c r="M64934"/>
    </row>
    <row r="64935" spans="3:13" ht="12.75" customHeight="1" x14ac:dyDescent="0.2">
      <c r="C64935"/>
      <c r="M64935"/>
    </row>
    <row r="64936" spans="3:13" ht="12.75" customHeight="1" x14ac:dyDescent="0.2">
      <c r="C64936"/>
      <c r="M64936"/>
    </row>
    <row r="64937" spans="3:13" ht="12.75" customHeight="1" x14ac:dyDescent="0.2">
      <c r="C64937"/>
      <c r="M64937"/>
    </row>
    <row r="64938" spans="3:13" ht="12.75" customHeight="1" x14ac:dyDescent="0.2">
      <c r="C64938"/>
      <c r="M64938"/>
    </row>
    <row r="64939" spans="3:13" ht="12.75" customHeight="1" x14ac:dyDescent="0.2">
      <c r="C64939"/>
      <c r="M64939"/>
    </row>
    <row r="64940" spans="3:13" ht="12.75" customHeight="1" x14ac:dyDescent="0.2">
      <c r="C64940"/>
      <c r="M64940"/>
    </row>
    <row r="64941" spans="3:13" ht="12.75" customHeight="1" x14ac:dyDescent="0.2">
      <c r="C64941"/>
      <c r="M64941"/>
    </row>
    <row r="64942" spans="3:13" ht="12.75" customHeight="1" x14ac:dyDescent="0.2">
      <c r="C64942"/>
      <c r="M64942"/>
    </row>
    <row r="64943" spans="3:13" ht="12.75" customHeight="1" x14ac:dyDescent="0.2">
      <c r="C64943"/>
      <c r="M64943"/>
    </row>
    <row r="64944" spans="3:13" ht="12.75" customHeight="1" x14ac:dyDescent="0.2">
      <c r="C64944"/>
      <c r="M64944"/>
    </row>
    <row r="64945" spans="3:13" ht="12.75" customHeight="1" x14ac:dyDescent="0.2">
      <c r="C64945"/>
      <c r="M64945"/>
    </row>
    <row r="64946" spans="3:13" ht="12.75" customHeight="1" x14ac:dyDescent="0.2">
      <c r="C64946"/>
      <c r="M64946"/>
    </row>
    <row r="64947" spans="3:13" ht="12.75" customHeight="1" x14ac:dyDescent="0.2">
      <c r="C64947"/>
      <c r="M64947"/>
    </row>
    <row r="64948" spans="3:13" ht="12.75" customHeight="1" x14ac:dyDescent="0.2">
      <c r="C64948"/>
      <c r="M64948"/>
    </row>
    <row r="64949" spans="3:13" ht="12.75" customHeight="1" x14ac:dyDescent="0.2">
      <c r="C64949"/>
      <c r="M64949"/>
    </row>
    <row r="64950" spans="3:13" ht="12.75" customHeight="1" x14ac:dyDescent="0.2">
      <c r="C64950"/>
      <c r="M64950"/>
    </row>
    <row r="64951" spans="3:13" ht="12.75" customHeight="1" x14ac:dyDescent="0.2">
      <c r="C64951"/>
      <c r="M64951"/>
    </row>
    <row r="64952" spans="3:13" ht="12.75" customHeight="1" x14ac:dyDescent="0.2">
      <c r="C64952"/>
      <c r="M64952"/>
    </row>
    <row r="64953" spans="3:13" ht="12.75" customHeight="1" x14ac:dyDescent="0.2">
      <c r="C64953"/>
      <c r="M64953"/>
    </row>
    <row r="64954" spans="3:13" ht="12.75" customHeight="1" x14ac:dyDescent="0.2">
      <c r="C64954"/>
      <c r="M64954"/>
    </row>
    <row r="64955" spans="3:13" ht="12.75" customHeight="1" x14ac:dyDescent="0.2">
      <c r="C64955"/>
      <c r="M64955"/>
    </row>
    <row r="64956" spans="3:13" ht="12.75" customHeight="1" x14ac:dyDescent="0.2">
      <c r="C64956"/>
      <c r="M64956"/>
    </row>
    <row r="64957" spans="3:13" ht="12.75" customHeight="1" x14ac:dyDescent="0.2">
      <c r="C64957"/>
      <c r="M64957"/>
    </row>
    <row r="64958" spans="3:13" ht="12.75" customHeight="1" x14ac:dyDescent="0.2">
      <c r="C64958"/>
      <c r="M64958"/>
    </row>
    <row r="64959" spans="3:13" ht="12.75" customHeight="1" x14ac:dyDescent="0.2">
      <c r="C64959"/>
      <c r="M64959"/>
    </row>
    <row r="64960" spans="3:13" ht="12.75" customHeight="1" x14ac:dyDescent="0.2">
      <c r="C64960"/>
      <c r="M64960"/>
    </row>
    <row r="64961" spans="3:13" ht="12.75" customHeight="1" x14ac:dyDescent="0.2">
      <c r="C64961"/>
      <c r="M64961"/>
    </row>
    <row r="64962" spans="3:13" ht="12.75" customHeight="1" x14ac:dyDescent="0.2">
      <c r="C64962"/>
      <c r="M64962"/>
    </row>
    <row r="64963" spans="3:13" ht="12.75" customHeight="1" x14ac:dyDescent="0.2">
      <c r="C64963"/>
      <c r="M64963"/>
    </row>
    <row r="64964" spans="3:13" ht="12.75" customHeight="1" x14ac:dyDescent="0.2">
      <c r="C64964"/>
      <c r="M64964"/>
    </row>
    <row r="64965" spans="3:13" ht="12.75" customHeight="1" x14ac:dyDescent="0.2">
      <c r="C64965"/>
      <c r="M64965"/>
    </row>
    <row r="64966" spans="3:13" ht="12.75" customHeight="1" x14ac:dyDescent="0.2">
      <c r="C64966"/>
      <c r="M64966"/>
    </row>
    <row r="64967" spans="3:13" ht="12.75" customHeight="1" x14ac:dyDescent="0.2">
      <c r="C64967"/>
      <c r="M64967"/>
    </row>
    <row r="64968" spans="3:13" ht="12.75" customHeight="1" x14ac:dyDescent="0.2">
      <c r="C64968"/>
      <c r="M64968"/>
    </row>
    <row r="64969" spans="3:13" ht="12.75" customHeight="1" x14ac:dyDescent="0.2">
      <c r="C64969"/>
      <c r="M64969"/>
    </row>
    <row r="64970" spans="3:13" ht="12.75" customHeight="1" x14ac:dyDescent="0.2">
      <c r="C64970"/>
      <c r="M64970"/>
    </row>
    <row r="64971" spans="3:13" ht="12.75" customHeight="1" x14ac:dyDescent="0.2">
      <c r="C64971"/>
      <c r="M64971"/>
    </row>
    <row r="64972" spans="3:13" ht="12.75" customHeight="1" x14ac:dyDescent="0.2">
      <c r="C64972"/>
      <c r="M64972"/>
    </row>
    <row r="64973" spans="3:13" ht="12.75" customHeight="1" x14ac:dyDescent="0.2">
      <c r="C64973"/>
      <c r="M64973"/>
    </row>
    <row r="64974" spans="3:13" ht="12.75" customHeight="1" x14ac:dyDescent="0.2">
      <c r="C64974"/>
      <c r="M64974"/>
    </row>
    <row r="64975" spans="3:13" ht="12.75" customHeight="1" x14ac:dyDescent="0.2">
      <c r="C64975"/>
      <c r="M64975"/>
    </row>
    <row r="64976" spans="3:13" ht="12.75" customHeight="1" x14ac:dyDescent="0.2">
      <c r="C64976"/>
      <c r="M64976"/>
    </row>
    <row r="64977" spans="3:13" ht="12.75" customHeight="1" x14ac:dyDescent="0.2">
      <c r="C64977"/>
      <c r="M64977"/>
    </row>
    <row r="64978" spans="3:13" ht="12.75" customHeight="1" x14ac:dyDescent="0.2">
      <c r="C64978"/>
      <c r="M64978"/>
    </row>
    <row r="64979" spans="3:13" ht="12.75" customHeight="1" x14ac:dyDescent="0.2">
      <c r="C64979"/>
      <c r="M64979"/>
    </row>
    <row r="64980" spans="3:13" ht="12.75" customHeight="1" x14ac:dyDescent="0.2">
      <c r="C64980"/>
      <c r="M64980"/>
    </row>
    <row r="64981" spans="3:13" ht="12.75" customHeight="1" x14ac:dyDescent="0.2">
      <c r="C64981"/>
      <c r="M64981"/>
    </row>
    <row r="64982" spans="3:13" ht="12.75" customHeight="1" x14ac:dyDescent="0.2">
      <c r="C64982"/>
      <c r="M64982"/>
    </row>
    <row r="64983" spans="3:13" ht="12.75" customHeight="1" x14ac:dyDescent="0.2">
      <c r="C64983"/>
      <c r="M64983"/>
    </row>
    <row r="64984" spans="3:13" ht="12.75" customHeight="1" x14ac:dyDescent="0.2">
      <c r="C64984"/>
      <c r="M64984"/>
    </row>
    <row r="64985" spans="3:13" ht="12.75" customHeight="1" x14ac:dyDescent="0.2">
      <c r="C64985"/>
      <c r="M64985"/>
    </row>
    <row r="64986" spans="3:13" ht="12.75" customHeight="1" x14ac:dyDescent="0.2">
      <c r="C64986"/>
      <c r="M64986"/>
    </row>
    <row r="64987" spans="3:13" ht="12.75" customHeight="1" x14ac:dyDescent="0.2">
      <c r="C64987"/>
      <c r="M64987"/>
    </row>
    <row r="64988" spans="3:13" ht="12.75" customHeight="1" x14ac:dyDescent="0.2">
      <c r="C64988"/>
      <c r="M64988"/>
    </row>
    <row r="64989" spans="3:13" ht="12.75" customHeight="1" x14ac:dyDescent="0.2">
      <c r="C64989"/>
      <c r="M64989"/>
    </row>
    <row r="64990" spans="3:13" ht="12.75" customHeight="1" x14ac:dyDescent="0.2">
      <c r="C64990"/>
      <c r="M64990"/>
    </row>
    <row r="64991" spans="3:13" ht="12.75" customHeight="1" x14ac:dyDescent="0.2">
      <c r="C64991"/>
      <c r="M64991"/>
    </row>
    <row r="64992" spans="3:13" ht="12.75" customHeight="1" x14ac:dyDescent="0.2">
      <c r="C64992"/>
      <c r="M64992"/>
    </row>
    <row r="64993" spans="3:13" ht="12.75" customHeight="1" x14ac:dyDescent="0.2">
      <c r="C64993"/>
      <c r="M64993"/>
    </row>
    <row r="64994" spans="3:13" ht="12.75" customHeight="1" x14ac:dyDescent="0.2">
      <c r="C64994"/>
      <c r="M64994"/>
    </row>
    <row r="64995" spans="3:13" ht="12.75" customHeight="1" x14ac:dyDescent="0.2">
      <c r="C64995"/>
      <c r="M64995"/>
    </row>
    <row r="64996" spans="3:13" ht="12.75" customHeight="1" x14ac:dyDescent="0.2">
      <c r="C64996"/>
      <c r="M64996"/>
    </row>
    <row r="64997" spans="3:13" ht="12.75" customHeight="1" x14ac:dyDescent="0.2">
      <c r="C64997"/>
      <c r="M64997"/>
    </row>
    <row r="64998" spans="3:13" ht="12.75" customHeight="1" x14ac:dyDescent="0.2">
      <c r="C64998"/>
      <c r="M64998"/>
    </row>
    <row r="64999" spans="3:13" ht="12.75" customHeight="1" x14ac:dyDescent="0.2">
      <c r="C64999"/>
      <c r="M64999"/>
    </row>
    <row r="65000" spans="3:13" ht="12.75" customHeight="1" x14ac:dyDescent="0.2">
      <c r="C65000"/>
      <c r="M65000"/>
    </row>
    <row r="65001" spans="3:13" ht="12.75" customHeight="1" x14ac:dyDescent="0.2">
      <c r="C65001"/>
      <c r="M65001"/>
    </row>
    <row r="65002" spans="3:13" ht="12.75" customHeight="1" x14ac:dyDescent="0.2">
      <c r="C65002"/>
      <c r="M65002"/>
    </row>
    <row r="65003" spans="3:13" ht="12.75" customHeight="1" x14ac:dyDescent="0.2">
      <c r="C65003"/>
      <c r="M65003"/>
    </row>
    <row r="65004" spans="3:13" ht="12.75" customHeight="1" x14ac:dyDescent="0.2">
      <c r="C65004"/>
      <c r="M65004"/>
    </row>
    <row r="65005" spans="3:13" ht="12.75" customHeight="1" x14ac:dyDescent="0.2">
      <c r="C65005"/>
      <c r="M65005"/>
    </row>
    <row r="65006" spans="3:13" ht="12.75" customHeight="1" x14ac:dyDescent="0.2">
      <c r="C65006"/>
      <c r="M65006"/>
    </row>
    <row r="65007" spans="3:13" ht="12.75" customHeight="1" x14ac:dyDescent="0.2">
      <c r="C65007"/>
      <c r="M65007"/>
    </row>
    <row r="65008" spans="3:13" ht="12.75" customHeight="1" x14ac:dyDescent="0.2">
      <c r="C65008"/>
      <c r="M65008"/>
    </row>
    <row r="65009" spans="3:13" ht="12.75" customHeight="1" x14ac:dyDescent="0.2">
      <c r="C65009"/>
      <c r="M65009"/>
    </row>
    <row r="65010" spans="3:13" ht="12.75" customHeight="1" x14ac:dyDescent="0.2">
      <c r="C65010"/>
      <c r="M65010"/>
    </row>
    <row r="65011" spans="3:13" ht="12.75" customHeight="1" x14ac:dyDescent="0.2">
      <c r="C65011"/>
      <c r="M65011"/>
    </row>
    <row r="65012" spans="3:13" ht="12.75" customHeight="1" x14ac:dyDescent="0.2">
      <c r="C65012"/>
      <c r="M65012"/>
    </row>
    <row r="65013" spans="3:13" ht="12.75" customHeight="1" x14ac:dyDescent="0.2">
      <c r="C65013"/>
      <c r="M65013"/>
    </row>
    <row r="65014" spans="3:13" ht="12.75" customHeight="1" x14ac:dyDescent="0.2">
      <c r="C65014"/>
      <c r="M65014"/>
    </row>
    <row r="65015" spans="3:13" ht="12.75" customHeight="1" x14ac:dyDescent="0.2">
      <c r="C65015"/>
      <c r="M65015"/>
    </row>
    <row r="65016" spans="3:13" ht="12.75" customHeight="1" x14ac:dyDescent="0.2">
      <c r="C65016"/>
      <c r="M65016"/>
    </row>
    <row r="65017" spans="3:13" ht="12.75" customHeight="1" x14ac:dyDescent="0.2">
      <c r="C65017"/>
      <c r="M65017"/>
    </row>
    <row r="65018" spans="3:13" ht="12.75" customHeight="1" x14ac:dyDescent="0.2">
      <c r="C65018"/>
      <c r="M65018"/>
    </row>
    <row r="65019" spans="3:13" ht="12.75" customHeight="1" x14ac:dyDescent="0.2">
      <c r="C65019"/>
      <c r="M65019"/>
    </row>
    <row r="65020" spans="3:13" ht="12.75" customHeight="1" x14ac:dyDescent="0.2">
      <c r="C65020"/>
      <c r="M65020"/>
    </row>
    <row r="65021" spans="3:13" ht="12.75" customHeight="1" x14ac:dyDescent="0.2">
      <c r="C65021"/>
      <c r="M65021"/>
    </row>
    <row r="65022" spans="3:13" ht="12.75" customHeight="1" x14ac:dyDescent="0.2">
      <c r="C65022"/>
      <c r="M65022"/>
    </row>
    <row r="65023" spans="3:13" ht="12.75" customHeight="1" x14ac:dyDescent="0.2">
      <c r="C65023"/>
      <c r="M65023"/>
    </row>
    <row r="65024" spans="3:13" ht="12.75" customHeight="1" x14ac:dyDescent="0.2">
      <c r="C65024"/>
      <c r="M65024"/>
    </row>
    <row r="65025" spans="3:13" ht="12.75" customHeight="1" x14ac:dyDescent="0.2">
      <c r="C65025"/>
      <c r="M65025"/>
    </row>
    <row r="65026" spans="3:13" ht="12.75" customHeight="1" x14ac:dyDescent="0.2">
      <c r="C65026"/>
      <c r="M65026"/>
    </row>
    <row r="65027" spans="3:13" ht="12.75" customHeight="1" x14ac:dyDescent="0.2">
      <c r="C65027"/>
      <c r="M65027"/>
    </row>
    <row r="65028" spans="3:13" ht="12.75" customHeight="1" x14ac:dyDescent="0.2">
      <c r="C65028"/>
      <c r="M65028"/>
    </row>
    <row r="65029" spans="3:13" ht="12.75" customHeight="1" x14ac:dyDescent="0.2">
      <c r="C65029"/>
      <c r="M65029"/>
    </row>
    <row r="65030" spans="3:13" ht="12.75" customHeight="1" x14ac:dyDescent="0.2">
      <c r="C65030"/>
      <c r="M65030"/>
    </row>
    <row r="65031" spans="3:13" ht="12.75" customHeight="1" x14ac:dyDescent="0.2">
      <c r="C65031"/>
      <c r="M65031"/>
    </row>
    <row r="65032" spans="3:13" ht="12.75" customHeight="1" x14ac:dyDescent="0.2">
      <c r="C65032"/>
      <c r="M65032"/>
    </row>
    <row r="65033" spans="3:13" ht="12.75" customHeight="1" x14ac:dyDescent="0.2">
      <c r="C65033"/>
      <c r="M65033"/>
    </row>
    <row r="65034" spans="3:13" ht="12.75" customHeight="1" x14ac:dyDescent="0.2">
      <c r="C65034"/>
      <c r="M65034"/>
    </row>
    <row r="65035" spans="3:13" ht="12.75" customHeight="1" x14ac:dyDescent="0.2">
      <c r="C65035"/>
      <c r="M65035"/>
    </row>
    <row r="65036" spans="3:13" ht="12.75" customHeight="1" x14ac:dyDescent="0.2">
      <c r="C65036"/>
      <c r="M65036"/>
    </row>
    <row r="65037" spans="3:13" ht="12.75" customHeight="1" x14ac:dyDescent="0.2">
      <c r="C65037"/>
      <c r="M65037"/>
    </row>
    <row r="65038" spans="3:13" ht="12.75" customHeight="1" x14ac:dyDescent="0.2">
      <c r="C65038"/>
      <c r="M65038"/>
    </row>
    <row r="65039" spans="3:13" ht="12.75" customHeight="1" x14ac:dyDescent="0.2">
      <c r="C65039"/>
      <c r="M65039"/>
    </row>
    <row r="65040" spans="3:13" ht="12.75" customHeight="1" x14ac:dyDescent="0.2">
      <c r="C65040"/>
      <c r="M65040"/>
    </row>
    <row r="65041" spans="3:13" ht="12.75" customHeight="1" x14ac:dyDescent="0.2">
      <c r="C65041"/>
      <c r="M65041"/>
    </row>
    <row r="65042" spans="3:13" ht="12.75" customHeight="1" x14ac:dyDescent="0.2">
      <c r="C65042"/>
      <c r="M65042"/>
    </row>
    <row r="65043" spans="3:13" ht="12.75" customHeight="1" x14ac:dyDescent="0.2">
      <c r="C65043"/>
      <c r="M65043"/>
    </row>
    <row r="65044" spans="3:13" ht="12.75" customHeight="1" x14ac:dyDescent="0.2">
      <c r="C65044"/>
      <c r="M65044"/>
    </row>
    <row r="65045" spans="3:13" ht="12.75" customHeight="1" x14ac:dyDescent="0.2">
      <c r="C65045"/>
      <c r="M65045"/>
    </row>
    <row r="65046" spans="3:13" ht="12.75" customHeight="1" x14ac:dyDescent="0.2">
      <c r="C65046"/>
      <c r="M65046"/>
    </row>
    <row r="65047" spans="3:13" ht="12.75" customHeight="1" x14ac:dyDescent="0.2">
      <c r="C65047"/>
      <c r="M65047"/>
    </row>
    <row r="65048" spans="3:13" ht="12.75" customHeight="1" x14ac:dyDescent="0.2">
      <c r="C65048"/>
      <c r="M65048"/>
    </row>
    <row r="65049" spans="3:13" ht="12.75" customHeight="1" x14ac:dyDescent="0.2">
      <c r="C65049"/>
      <c r="M65049"/>
    </row>
    <row r="65050" spans="3:13" ht="12.75" customHeight="1" x14ac:dyDescent="0.2">
      <c r="C65050"/>
      <c r="M65050"/>
    </row>
    <row r="65051" spans="3:13" ht="12.75" customHeight="1" x14ac:dyDescent="0.2">
      <c r="C65051"/>
      <c r="M65051"/>
    </row>
    <row r="65052" spans="3:13" ht="12.75" customHeight="1" x14ac:dyDescent="0.2">
      <c r="C65052"/>
      <c r="M65052"/>
    </row>
    <row r="65053" spans="3:13" ht="12.75" customHeight="1" x14ac:dyDescent="0.2">
      <c r="C65053"/>
      <c r="M65053"/>
    </row>
    <row r="65054" spans="3:13" ht="12.75" customHeight="1" x14ac:dyDescent="0.2">
      <c r="C65054"/>
      <c r="M65054"/>
    </row>
    <row r="65055" spans="3:13" ht="12.75" customHeight="1" x14ac:dyDescent="0.2">
      <c r="C65055"/>
      <c r="M65055"/>
    </row>
    <row r="65056" spans="3:13" ht="12.75" customHeight="1" x14ac:dyDescent="0.2">
      <c r="C65056"/>
      <c r="M65056"/>
    </row>
    <row r="65057" spans="3:13" ht="12.75" customHeight="1" x14ac:dyDescent="0.2">
      <c r="C65057"/>
      <c r="M65057"/>
    </row>
    <row r="65058" spans="3:13" ht="12.75" customHeight="1" x14ac:dyDescent="0.2">
      <c r="C65058"/>
      <c r="M65058"/>
    </row>
    <row r="65059" spans="3:13" ht="12.75" customHeight="1" x14ac:dyDescent="0.2">
      <c r="C65059"/>
      <c r="M65059"/>
    </row>
    <row r="65060" spans="3:13" ht="12.75" customHeight="1" x14ac:dyDescent="0.2">
      <c r="C65060"/>
      <c r="M65060"/>
    </row>
    <row r="65061" spans="3:13" ht="12.75" customHeight="1" x14ac:dyDescent="0.2">
      <c r="C65061"/>
      <c r="M65061"/>
    </row>
    <row r="65062" spans="3:13" ht="12.75" customHeight="1" x14ac:dyDescent="0.2">
      <c r="C65062"/>
      <c r="M65062"/>
    </row>
    <row r="65063" spans="3:13" ht="12.75" customHeight="1" x14ac:dyDescent="0.2">
      <c r="C65063"/>
      <c r="M65063"/>
    </row>
    <row r="65064" spans="3:13" ht="12.75" customHeight="1" x14ac:dyDescent="0.2">
      <c r="C65064"/>
      <c r="M65064"/>
    </row>
    <row r="65065" spans="3:13" ht="12.75" customHeight="1" x14ac:dyDescent="0.2">
      <c r="C65065"/>
      <c r="M65065"/>
    </row>
    <row r="65066" spans="3:13" ht="12.75" customHeight="1" x14ac:dyDescent="0.2">
      <c r="C65066"/>
      <c r="M65066"/>
    </row>
    <row r="65067" spans="3:13" ht="12.75" customHeight="1" x14ac:dyDescent="0.2">
      <c r="C65067"/>
      <c r="M65067"/>
    </row>
    <row r="65068" spans="3:13" ht="12.75" customHeight="1" x14ac:dyDescent="0.2">
      <c r="C65068"/>
      <c r="M65068"/>
    </row>
    <row r="65069" spans="3:13" ht="12.75" customHeight="1" x14ac:dyDescent="0.2">
      <c r="C65069"/>
      <c r="M65069"/>
    </row>
    <row r="65070" spans="3:13" ht="12.75" customHeight="1" x14ac:dyDescent="0.2">
      <c r="C65070"/>
      <c r="M65070"/>
    </row>
    <row r="65071" spans="3:13" ht="12.75" customHeight="1" x14ac:dyDescent="0.2">
      <c r="C65071"/>
      <c r="M65071"/>
    </row>
    <row r="65072" spans="3:13" ht="12.75" customHeight="1" x14ac:dyDescent="0.2">
      <c r="C65072"/>
      <c r="M65072"/>
    </row>
    <row r="65073" spans="3:13" ht="12.75" customHeight="1" x14ac:dyDescent="0.2">
      <c r="C65073"/>
      <c r="M65073"/>
    </row>
    <row r="65074" spans="3:13" ht="12.75" customHeight="1" x14ac:dyDescent="0.2">
      <c r="C65074"/>
      <c r="M65074"/>
    </row>
    <row r="65075" spans="3:13" ht="12.75" customHeight="1" x14ac:dyDescent="0.2">
      <c r="C65075"/>
      <c r="M65075"/>
    </row>
    <row r="65076" spans="3:13" ht="12.75" customHeight="1" x14ac:dyDescent="0.2">
      <c r="C65076"/>
      <c r="M65076"/>
    </row>
    <row r="65077" spans="3:13" ht="12.75" customHeight="1" x14ac:dyDescent="0.2">
      <c r="C65077"/>
      <c r="M65077"/>
    </row>
    <row r="65078" spans="3:13" ht="12.75" customHeight="1" x14ac:dyDescent="0.2">
      <c r="C65078"/>
      <c r="M65078"/>
    </row>
    <row r="65079" spans="3:13" ht="12.75" customHeight="1" x14ac:dyDescent="0.2">
      <c r="C65079"/>
      <c r="M65079"/>
    </row>
    <row r="65080" spans="3:13" ht="12.75" customHeight="1" x14ac:dyDescent="0.2">
      <c r="C65080"/>
      <c r="M65080"/>
    </row>
    <row r="65081" spans="3:13" ht="12.75" customHeight="1" x14ac:dyDescent="0.2">
      <c r="C65081"/>
      <c r="M65081"/>
    </row>
    <row r="65082" spans="3:13" ht="12.75" customHeight="1" x14ac:dyDescent="0.2">
      <c r="C65082"/>
      <c r="M65082"/>
    </row>
    <row r="65083" spans="3:13" ht="12.75" customHeight="1" x14ac:dyDescent="0.2">
      <c r="C65083"/>
      <c r="M65083"/>
    </row>
    <row r="65084" spans="3:13" ht="12.75" customHeight="1" x14ac:dyDescent="0.2">
      <c r="C65084"/>
      <c r="M65084"/>
    </row>
    <row r="65085" spans="3:13" ht="12.75" customHeight="1" x14ac:dyDescent="0.2">
      <c r="C65085"/>
      <c r="M65085"/>
    </row>
    <row r="65086" spans="3:13" ht="12.75" customHeight="1" x14ac:dyDescent="0.2">
      <c r="C65086"/>
      <c r="M65086"/>
    </row>
    <row r="65087" spans="3:13" ht="12.75" customHeight="1" x14ac:dyDescent="0.2">
      <c r="C65087"/>
      <c r="M65087"/>
    </row>
    <row r="65088" spans="3:13" ht="12.75" customHeight="1" x14ac:dyDescent="0.2">
      <c r="C65088"/>
      <c r="M65088"/>
    </row>
    <row r="65089" spans="3:13" ht="12.75" customHeight="1" x14ac:dyDescent="0.2">
      <c r="C65089"/>
      <c r="M65089"/>
    </row>
    <row r="65090" spans="3:13" ht="12.75" customHeight="1" x14ac:dyDescent="0.2">
      <c r="C65090"/>
      <c r="M65090"/>
    </row>
    <row r="65091" spans="3:13" ht="12.75" customHeight="1" x14ac:dyDescent="0.2">
      <c r="C65091"/>
      <c r="M65091"/>
    </row>
    <row r="65092" spans="3:13" ht="12.75" customHeight="1" x14ac:dyDescent="0.2">
      <c r="C65092"/>
      <c r="M65092"/>
    </row>
    <row r="65093" spans="3:13" ht="12.75" customHeight="1" x14ac:dyDescent="0.2">
      <c r="C65093"/>
      <c r="M65093"/>
    </row>
    <row r="65094" spans="3:13" ht="12.75" customHeight="1" x14ac:dyDescent="0.2">
      <c r="C65094"/>
      <c r="M65094"/>
    </row>
    <row r="65095" spans="3:13" ht="12.75" customHeight="1" x14ac:dyDescent="0.2">
      <c r="C65095"/>
      <c r="M65095"/>
    </row>
    <row r="65096" spans="3:13" ht="12.75" customHeight="1" x14ac:dyDescent="0.2">
      <c r="C65096"/>
      <c r="M65096"/>
    </row>
    <row r="65097" spans="3:13" ht="12.75" customHeight="1" x14ac:dyDescent="0.2">
      <c r="C65097"/>
      <c r="M65097"/>
    </row>
    <row r="65098" spans="3:13" ht="12.75" customHeight="1" x14ac:dyDescent="0.2">
      <c r="C65098"/>
      <c r="M65098"/>
    </row>
    <row r="65099" spans="3:13" ht="12.75" customHeight="1" x14ac:dyDescent="0.2">
      <c r="C65099"/>
      <c r="M65099"/>
    </row>
    <row r="65100" spans="3:13" ht="12.75" customHeight="1" x14ac:dyDescent="0.2">
      <c r="C65100"/>
      <c r="M65100"/>
    </row>
    <row r="65101" spans="3:13" ht="12.75" customHeight="1" x14ac:dyDescent="0.2">
      <c r="C65101"/>
      <c r="M65101"/>
    </row>
    <row r="65102" spans="3:13" ht="12.75" customHeight="1" x14ac:dyDescent="0.2">
      <c r="C65102"/>
      <c r="M65102"/>
    </row>
    <row r="65103" spans="3:13" ht="12.75" customHeight="1" x14ac:dyDescent="0.2">
      <c r="C65103"/>
      <c r="M65103"/>
    </row>
    <row r="65104" spans="3:13" ht="12.75" customHeight="1" x14ac:dyDescent="0.2">
      <c r="C65104"/>
      <c r="M65104"/>
    </row>
    <row r="65105" spans="3:13" ht="12.75" customHeight="1" x14ac:dyDescent="0.2">
      <c r="C65105"/>
      <c r="M65105"/>
    </row>
    <row r="65106" spans="3:13" ht="12.75" customHeight="1" x14ac:dyDescent="0.2">
      <c r="C65106"/>
      <c r="M65106"/>
    </row>
    <row r="65107" spans="3:13" ht="12.75" customHeight="1" x14ac:dyDescent="0.2">
      <c r="C65107"/>
      <c r="M65107"/>
    </row>
    <row r="65108" spans="3:13" ht="12.75" customHeight="1" x14ac:dyDescent="0.2">
      <c r="C65108"/>
      <c r="M65108"/>
    </row>
    <row r="65109" spans="3:13" ht="12.75" customHeight="1" x14ac:dyDescent="0.2">
      <c r="C65109"/>
      <c r="M65109"/>
    </row>
    <row r="65110" spans="3:13" ht="12.75" customHeight="1" x14ac:dyDescent="0.2">
      <c r="C65110"/>
      <c r="M65110"/>
    </row>
    <row r="65111" spans="3:13" ht="12.75" customHeight="1" x14ac:dyDescent="0.2">
      <c r="C65111"/>
      <c r="M65111"/>
    </row>
    <row r="65112" spans="3:13" ht="12.75" customHeight="1" x14ac:dyDescent="0.2">
      <c r="C65112"/>
      <c r="M65112"/>
    </row>
    <row r="65113" spans="3:13" ht="12.75" customHeight="1" x14ac:dyDescent="0.2">
      <c r="C65113"/>
      <c r="M65113"/>
    </row>
    <row r="65114" spans="3:13" ht="12.75" customHeight="1" x14ac:dyDescent="0.2">
      <c r="C65114"/>
      <c r="M65114"/>
    </row>
    <row r="65115" spans="3:13" ht="12.75" customHeight="1" x14ac:dyDescent="0.2">
      <c r="C65115"/>
      <c r="M65115"/>
    </row>
    <row r="65116" spans="3:13" ht="12.75" customHeight="1" x14ac:dyDescent="0.2">
      <c r="C65116"/>
      <c r="M65116"/>
    </row>
    <row r="65117" spans="3:13" ht="12.75" customHeight="1" x14ac:dyDescent="0.2">
      <c r="C65117"/>
      <c r="M65117"/>
    </row>
    <row r="65118" spans="3:13" ht="12.75" customHeight="1" x14ac:dyDescent="0.2">
      <c r="C65118"/>
      <c r="M65118"/>
    </row>
    <row r="65119" spans="3:13" ht="12.75" customHeight="1" x14ac:dyDescent="0.2">
      <c r="C65119"/>
      <c r="M65119"/>
    </row>
    <row r="65120" spans="3:13" ht="12.75" customHeight="1" x14ac:dyDescent="0.2">
      <c r="C65120"/>
      <c r="M65120"/>
    </row>
    <row r="65121" spans="3:13" ht="12.75" customHeight="1" x14ac:dyDescent="0.2">
      <c r="C65121"/>
      <c r="M65121"/>
    </row>
    <row r="65122" spans="3:13" ht="12.75" customHeight="1" x14ac:dyDescent="0.2">
      <c r="C65122"/>
      <c r="M65122"/>
    </row>
    <row r="65123" spans="3:13" ht="12.75" customHeight="1" x14ac:dyDescent="0.2">
      <c r="C65123"/>
      <c r="M65123"/>
    </row>
    <row r="65124" spans="3:13" ht="12.75" customHeight="1" x14ac:dyDescent="0.2">
      <c r="C65124"/>
      <c r="M65124"/>
    </row>
    <row r="65125" spans="3:13" ht="12.75" customHeight="1" x14ac:dyDescent="0.2">
      <c r="C65125"/>
      <c r="M65125"/>
    </row>
    <row r="65126" spans="3:13" ht="12.75" customHeight="1" x14ac:dyDescent="0.2">
      <c r="C65126"/>
      <c r="M65126"/>
    </row>
    <row r="65127" spans="3:13" ht="12.75" customHeight="1" x14ac:dyDescent="0.2">
      <c r="C65127"/>
      <c r="M65127"/>
    </row>
    <row r="65128" spans="3:13" ht="12.75" customHeight="1" x14ac:dyDescent="0.2">
      <c r="C65128"/>
      <c r="M65128"/>
    </row>
    <row r="65129" spans="3:13" ht="12.75" customHeight="1" x14ac:dyDescent="0.2">
      <c r="C65129"/>
      <c r="M65129"/>
    </row>
    <row r="65130" spans="3:13" ht="12.75" customHeight="1" x14ac:dyDescent="0.2">
      <c r="C65130"/>
      <c r="M65130"/>
    </row>
    <row r="65131" spans="3:13" ht="12.75" customHeight="1" x14ac:dyDescent="0.2">
      <c r="C65131"/>
      <c r="M65131"/>
    </row>
    <row r="65132" spans="3:13" ht="12.75" customHeight="1" x14ac:dyDescent="0.2">
      <c r="C65132"/>
      <c r="M65132"/>
    </row>
    <row r="65133" spans="3:13" ht="12.75" customHeight="1" x14ac:dyDescent="0.2">
      <c r="C65133"/>
      <c r="M65133"/>
    </row>
    <row r="65134" spans="3:13" ht="12.75" customHeight="1" x14ac:dyDescent="0.2">
      <c r="C65134"/>
      <c r="M65134"/>
    </row>
    <row r="65135" spans="3:13" ht="12.75" customHeight="1" x14ac:dyDescent="0.2">
      <c r="C65135"/>
      <c r="M65135"/>
    </row>
    <row r="65136" spans="3:13" ht="12.75" customHeight="1" x14ac:dyDescent="0.2">
      <c r="C65136"/>
      <c r="M65136"/>
    </row>
    <row r="65137" spans="3:13" ht="12.75" customHeight="1" x14ac:dyDescent="0.2">
      <c r="C65137"/>
      <c r="M65137"/>
    </row>
    <row r="65138" spans="3:13" ht="12.75" customHeight="1" x14ac:dyDescent="0.2">
      <c r="C65138"/>
      <c r="M65138"/>
    </row>
    <row r="65139" spans="3:13" ht="12.75" customHeight="1" x14ac:dyDescent="0.2">
      <c r="C65139"/>
      <c r="M65139"/>
    </row>
    <row r="65140" spans="3:13" ht="12.75" customHeight="1" x14ac:dyDescent="0.2">
      <c r="C65140"/>
      <c r="M65140"/>
    </row>
    <row r="65141" spans="3:13" ht="12.75" customHeight="1" x14ac:dyDescent="0.2">
      <c r="C65141"/>
      <c r="M65141"/>
    </row>
    <row r="65142" spans="3:13" ht="12.75" customHeight="1" x14ac:dyDescent="0.2">
      <c r="C65142"/>
      <c r="M65142"/>
    </row>
    <row r="65143" spans="3:13" ht="12.75" customHeight="1" x14ac:dyDescent="0.2">
      <c r="C65143"/>
      <c r="M65143"/>
    </row>
    <row r="65144" spans="3:13" ht="12.75" customHeight="1" x14ac:dyDescent="0.2">
      <c r="C65144"/>
      <c r="M65144"/>
    </row>
    <row r="65145" spans="3:13" ht="12.75" customHeight="1" x14ac:dyDescent="0.2">
      <c r="C65145"/>
      <c r="M65145"/>
    </row>
    <row r="65146" spans="3:13" ht="12.75" customHeight="1" x14ac:dyDescent="0.2">
      <c r="C65146"/>
      <c r="M65146"/>
    </row>
    <row r="65147" spans="3:13" ht="12.75" customHeight="1" x14ac:dyDescent="0.2">
      <c r="C65147"/>
      <c r="M65147"/>
    </row>
    <row r="65148" spans="3:13" ht="12.75" customHeight="1" x14ac:dyDescent="0.2">
      <c r="C65148"/>
      <c r="M65148"/>
    </row>
    <row r="65149" spans="3:13" ht="12.75" customHeight="1" x14ac:dyDescent="0.2">
      <c r="C65149"/>
      <c r="M65149"/>
    </row>
    <row r="65150" spans="3:13" ht="12.75" customHeight="1" x14ac:dyDescent="0.2">
      <c r="C65150"/>
      <c r="M65150"/>
    </row>
    <row r="65151" spans="3:13" ht="12.75" customHeight="1" x14ac:dyDescent="0.2">
      <c r="C65151"/>
      <c r="M65151"/>
    </row>
    <row r="65152" spans="3:13" ht="12.75" customHeight="1" x14ac:dyDescent="0.2">
      <c r="C65152"/>
      <c r="M65152"/>
    </row>
    <row r="65153" spans="3:13" ht="12.75" customHeight="1" x14ac:dyDescent="0.2">
      <c r="C65153"/>
      <c r="M65153"/>
    </row>
    <row r="65154" spans="3:13" ht="12.75" customHeight="1" x14ac:dyDescent="0.2">
      <c r="C65154"/>
      <c r="M65154"/>
    </row>
    <row r="65155" spans="3:13" ht="12.75" customHeight="1" x14ac:dyDescent="0.2">
      <c r="C65155"/>
      <c r="M65155"/>
    </row>
    <row r="65156" spans="3:13" ht="12.75" customHeight="1" x14ac:dyDescent="0.2">
      <c r="C65156"/>
      <c r="M65156"/>
    </row>
    <row r="65157" spans="3:13" ht="12.75" customHeight="1" x14ac:dyDescent="0.2">
      <c r="C65157"/>
      <c r="M65157"/>
    </row>
    <row r="65158" spans="3:13" ht="12.75" customHeight="1" x14ac:dyDescent="0.2">
      <c r="C65158"/>
      <c r="M65158"/>
    </row>
    <row r="65159" spans="3:13" ht="12.75" customHeight="1" x14ac:dyDescent="0.2">
      <c r="C65159"/>
      <c r="M65159"/>
    </row>
    <row r="65160" spans="3:13" ht="12.75" customHeight="1" x14ac:dyDescent="0.2">
      <c r="C65160"/>
      <c r="M65160"/>
    </row>
    <row r="65161" spans="3:13" ht="12.75" customHeight="1" x14ac:dyDescent="0.2">
      <c r="C65161"/>
      <c r="M65161"/>
    </row>
    <row r="65162" spans="3:13" ht="12.75" customHeight="1" x14ac:dyDescent="0.2">
      <c r="C65162"/>
      <c r="M65162"/>
    </row>
    <row r="65163" spans="3:13" ht="12.75" customHeight="1" x14ac:dyDescent="0.2">
      <c r="C65163"/>
      <c r="M65163"/>
    </row>
    <row r="65164" spans="3:13" ht="12.75" customHeight="1" x14ac:dyDescent="0.2">
      <c r="C65164"/>
      <c r="M65164"/>
    </row>
    <row r="65165" spans="3:13" ht="12.75" customHeight="1" x14ac:dyDescent="0.2">
      <c r="C65165"/>
      <c r="M65165"/>
    </row>
    <row r="65166" spans="3:13" ht="12.75" customHeight="1" x14ac:dyDescent="0.2">
      <c r="C65166"/>
      <c r="M65166"/>
    </row>
    <row r="65167" spans="3:13" ht="12.75" customHeight="1" x14ac:dyDescent="0.2">
      <c r="C65167"/>
      <c r="M65167"/>
    </row>
    <row r="65168" spans="3:13" ht="12.75" customHeight="1" x14ac:dyDescent="0.2">
      <c r="C65168"/>
      <c r="M65168"/>
    </row>
    <row r="65169" spans="3:13" ht="12.75" customHeight="1" x14ac:dyDescent="0.2">
      <c r="C65169"/>
      <c r="M65169"/>
    </row>
    <row r="65170" spans="3:13" ht="12.75" customHeight="1" x14ac:dyDescent="0.2">
      <c r="C65170"/>
      <c r="M65170"/>
    </row>
    <row r="65171" spans="3:13" ht="12.75" customHeight="1" x14ac:dyDescent="0.2">
      <c r="C65171"/>
      <c r="M65171"/>
    </row>
    <row r="65172" spans="3:13" ht="12.75" customHeight="1" x14ac:dyDescent="0.2">
      <c r="C65172"/>
      <c r="M65172"/>
    </row>
    <row r="65173" spans="3:13" ht="12.75" customHeight="1" x14ac:dyDescent="0.2">
      <c r="C65173"/>
      <c r="M65173"/>
    </row>
    <row r="65174" spans="3:13" ht="12.75" customHeight="1" x14ac:dyDescent="0.2">
      <c r="C65174"/>
      <c r="M65174"/>
    </row>
    <row r="65175" spans="3:13" ht="12.75" customHeight="1" x14ac:dyDescent="0.2">
      <c r="C65175"/>
      <c r="M65175"/>
    </row>
    <row r="65176" spans="3:13" ht="12.75" customHeight="1" x14ac:dyDescent="0.2">
      <c r="C65176"/>
      <c r="M65176"/>
    </row>
    <row r="65177" spans="3:13" ht="12.75" customHeight="1" x14ac:dyDescent="0.2">
      <c r="C65177"/>
      <c r="M65177"/>
    </row>
    <row r="65178" spans="3:13" ht="12.75" customHeight="1" x14ac:dyDescent="0.2">
      <c r="C65178"/>
      <c r="M65178"/>
    </row>
    <row r="65179" spans="3:13" ht="12.75" customHeight="1" x14ac:dyDescent="0.2">
      <c r="C65179"/>
      <c r="M65179"/>
    </row>
    <row r="65180" spans="3:13" ht="12.75" customHeight="1" x14ac:dyDescent="0.2">
      <c r="C65180"/>
      <c r="M65180"/>
    </row>
    <row r="65181" spans="3:13" ht="12.75" customHeight="1" x14ac:dyDescent="0.2">
      <c r="C65181"/>
      <c r="M65181"/>
    </row>
    <row r="65182" spans="3:13" ht="12.75" customHeight="1" x14ac:dyDescent="0.2">
      <c r="C65182"/>
      <c r="M65182"/>
    </row>
    <row r="65183" spans="3:13" ht="12.75" customHeight="1" x14ac:dyDescent="0.2">
      <c r="C65183"/>
      <c r="M65183"/>
    </row>
    <row r="65184" spans="3:13" ht="12.75" customHeight="1" x14ac:dyDescent="0.2">
      <c r="C65184"/>
      <c r="M65184"/>
    </row>
    <row r="65185" spans="3:13" ht="12.75" customHeight="1" x14ac:dyDescent="0.2">
      <c r="C65185"/>
      <c r="M65185"/>
    </row>
    <row r="65186" spans="3:13" ht="12.75" customHeight="1" x14ac:dyDescent="0.2">
      <c r="C65186"/>
      <c r="M65186"/>
    </row>
    <row r="65187" spans="3:13" ht="12.75" customHeight="1" x14ac:dyDescent="0.2">
      <c r="C65187"/>
      <c r="M65187"/>
    </row>
    <row r="65188" spans="3:13" ht="12.75" customHeight="1" x14ac:dyDescent="0.2">
      <c r="C65188"/>
      <c r="M65188"/>
    </row>
    <row r="65189" spans="3:13" ht="12.75" customHeight="1" x14ac:dyDescent="0.2">
      <c r="C65189"/>
      <c r="M65189"/>
    </row>
    <row r="65190" spans="3:13" ht="12.75" customHeight="1" x14ac:dyDescent="0.2">
      <c r="C65190"/>
      <c r="M65190"/>
    </row>
    <row r="65191" spans="3:13" ht="12.75" customHeight="1" x14ac:dyDescent="0.2">
      <c r="C65191"/>
      <c r="M65191"/>
    </row>
    <row r="65192" spans="3:13" ht="12.75" customHeight="1" x14ac:dyDescent="0.2">
      <c r="C65192"/>
      <c r="M65192"/>
    </row>
    <row r="65193" spans="3:13" ht="12.75" customHeight="1" x14ac:dyDescent="0.2">
      <c r="C65193"/>
      <c r="M65193"/>
    </row>
    <row r="65194" spans="3:13" ht="12.75" customHeight="1" x14ac:dyDescent="0.2">
      <c r="C65194"/>
      <c r="M65194"/>
    </row>
    <row r="65195" spans="3:13" ht="12.75" customHeight="1" x14ac:dyDescent="0.2">
      <c r="C65195"/>
      <c r="M65195"/>
    </row>
    <row r="65196" spans="3:13" ht="12.75" customHeight="1" x14ac:dyDescent="0.2">
      <c r="C65196"/>
      <c r="M65196"/>
    </row>
    <row r="65197" spans="3:13" ht="12.75" customHeight="1" x14ac:dyDescent="0.2">
      <c r="C65197"/>
      <c r="M65197"/>
    </row>
    <row r="65198" spans="3:13" ht="12.75" customHeight="1" x14ac:dyDescent="0.2">
      <c r="C65198"/>
      <c r="M65198"/>
    </row>
    <row r="65199" spans="3:13" ht="12.75" customHeight="1" x14ac:dyDescent="0.2">
      <c r="C65199"/>
      <c r="M65199"/>
    </row>
    <row r="65200" spans="3:13" ht="12.75" customHeight="1" x14ac:dyDescent="0.2">
      <c r="C65200"/>
      <c r="M65200"/>
    </row>
    <row r="65201" spans="3:13" ht="12.75" customHeight="1" x14ac:dyDescent="0.2">
      <c r="C65201"/>
      <c r="M65201"/>
    </row>
    <row r="65202" spans="3:13" ht="12.75" customHeight="1" x14ac:dyDescent="0.2">
      <c r="C65202"/>
      <c r="M65202"/>
    </row>
    <row r="65203" spans="3:13" ht="12.75" customHeight="1" x14ac:dyDescent="0.2">
      <c r="C65203"/>
      <c r="M65203"/>
    </row>
    <row r="65204" spans="3:13" ht="12.75" customHeight="1" x14ac:dyDescent="0.2">
      <c r="C65204"/>
      <c r="M65204"/>
    </row>
    <row r="65205" spans="3:13" ht="12.75" customHeight="1" x14ac:dyDescent="0.2">
      <c r="C65205"/>
      <c r="M65205"/>
    </row>
    <row r="65206" spans="3:13" ht="12.75" customHeight="1" x14ac:dyDescent="0.2">
      <c r="C65206"/>
      <c r="M65206"/>
    </row>
    <row r="65207" spans="3:13" ht="12.75" customHeight="1" x14ac:dyDescent="0.2">
      <c r="C65207"/>
      <c r="M65207"/>
    </row>
    <row r="65208" spans="3:13" ht="12.75" customHeight="1" x14ac:dyDescent="0.2">
      <c r="C65208"/>
      <c r="M65208"/>
    </row>
    <row r="65209" spans="3:13" ht="12.75" customHeight="1" x14ac:dyDescent="0.2">
      <c r="C65209"/>
      <c r="M65209"/>
    </row>
    <row r="65210" spans="3:13" ht="12.75" customHeight="1" x14ac:dyDescent="0.2">
      <c r="C65210"/>
      <c r="M65210"/>
    </row>
    <row r="65211" spans="3:13" ht="12.75" customHeight="1" x14ac:dyDescent="0.2">
      <c r="C65211"/>
      <c r="M65211"/>
    </row>
    <row r="65212" spans="3:13" ht="12.75" customHeight="1" x14ac:dyDescent="0.2">
      <c r="C65212"/>
      <c r="M65212"/>
    </row>
    <row r="65213" spans="3:13" ht="12.75" customHeight="1" x14ac:dyDescent="0.2">
      <c r="C65213"/>
      <c r="M65213"/>
    </row>
    <row r="65214" spans="3:13" ht="12.75" customHeight="1" x14ac:dyDescent="0.2">
      <c r="C65214"/>
      <c r="M65214"/>
    </row>
    <row r="65215" spans="3:13" ht="12.75" customHeight="1" x14ac:dyDescent="0.2">
      <c r="C65215"/>
      <c r="M65215"/>
    </row>
    <row r="65216" spans="3:13" ht="12.75" customHeight="1" x14ac:dyDescent="0.2">
      <c r="C65216"/>
      <c r="M65216"/>
    </row>
    <row r="65217" spans="3:13" ht="12.75" customHeight="1" x14ac:dyDescent="0.2">
      <c r="C65217"/>
      <c r="M65217"/>
    </row>
    <row r="65218" spans="3:13" ht="12.75" customHeight="1" x14ac:dyDescent="0.2">
      <c r="C65218"/>
      <c r="M65218"/>
    </row>
    <row r="65219" spans="3:13" ht="12.75" customHeight="1" x14ac:dyDescent="0.2">
      <c r="C65219"/>
      <c r="M65219"/>
    </row>
    <row r="65220" spans="3:13" ht="12.75" customHeight="1" x14ac:dyDescent="0.2">
      <c r="C65220"/>
      <c r="M65220"/>
    </row>
    <row r="65221" spans="3:13" ht="12.75" customHeight="1" x14ac:dyDescent="0.2">
      <c r="C65221"/>
      <c r="M65221"/>
    </row>
    <row r="65222" spans="3:13" ht="12.75" customHeight="1" x14ac:dyDescent="0.2">
      <c r="C65222"/>
      <c r="M65222"/>
    </row>
    <row r="65223" spans="3:13" ht="12.75" customHeight="1" x14ac:dyDescent="0.2">
      <c r="C65223"/>
      <c r="M65223"/>
    </row>
    <row r="65224" spans="3:13" ht="12.75" customHeight="1" x14ac:dyDescent="0.2">
      <c r="C65224"/>
      <c r="M65224"/>
    </row>
    <row r="65225" spans="3:13" ht="12.75" customHeight="1" x14ac:dyDescent="0.2">
      <c r="C65225"/>
      <c r="M65225"/>
    </row>
    <row r="65226" spans="3:13" ht="12.75" customHeight="1" x14ac:dyDescent="0.2">
      <c r="C65226"/>
      <c r="M65226"/>
    </row>
    <row r="65227" spans="3:13" ht="12.75" customHeight="1" x14ac:dyDescent="0.2">
      <c r="C65227"/>
      <c r="M65227"/>
    </row>
    <row r="65228" spans="3:13" ht="12.75" customHeight="1" x14ac:dyDescent="0.2">
      <c r="C65228"/>
      <c r="M65228"/>
    </row>
    <row r="65229" spans="3:13" ht="12.75" customHeight="1" x14ac:dyDescent="0.2">
      <c r="C65229"/>
      <c r="M65229"/>
    </row>
    <row r="65230" spans="3:13" ht="12.75" customHeight="1" x14ac:dyDescent="0.2">
      <c r="C65230"/>
      <c r="M65230"/>
    </row>
    <row r="65231" spans="3:13" ht="12.75" customHeight="1" x14ac:dyDescent="0.2">
      <c r="C65231"/>
      <c r="M65231"/>
    </row>
    <row r="65232" spans="3:13" ht="12.75" customHeight="1" x14ac:dyDescent="0.2">
      <c r="C65232"/>
      <c r="M65232"/>
    </row>
    <row r="65233" spans="3:13" ht="12.75" customHeight="1" x14ac:dyDescent="0.2">
      <c r="C65233"/>
      <c r="M65233"/>
    </row>
    <row r="65234" spans="3:13" ht="12.75" customHeight="1" x14ac:dyDescent="0.2">
      <c r="C65234"/>
      <c r="M65234"/>
    </row>
    <row r="65235" spans="3:13" ht="12.75" customHeight="1" x14ac:dyDescent="0.2">
      <c r="C65235"/>
      <c r="M65235"/>
    </row>
    <row r="65236" spans="3:13" ht="12.75" customHeight="1" x14ac:dyDescent="0.2">
      <c r="C65236"/>
      <c r="M65236"/>
    </row>
    <row r="65237" spans="3:13" ht="12.75" customHeight="1" x14ac:dyDescent="0.2">
      <c r="C65237"/>
      <c r="M65237"/>
    </row>
    <row r="65238" spans="3:13" ht="12.75" customHeight="1" x14ac:dyDescent="0.2">
      <c r="C65238"/>
      <c r="M65238"/>
    </row>
    <row r="65239" spans="3:13" ht="12.75" customHeight="1" x14ac:dyDescent="0.2">
      <c r="C65239"/>
      <c r="M65239"/>
    </row>
    <row r="65240" spans="3:13" ht="12.75" customHeight="1" x14ac:dyDescent="0.2">
      <c r="C65240"/>
      <c r="M65240"/>
    </row>
    <row r="65241" spans="3:13" ht="12.75" customHeight="1" x14ac:dyDescent="0.2">
      <c r="C65241"/>
      <c r="M65241"/>
    </row>
    <row r="65242" spans="3:13" ht="12.75" customHeight="1" x14ac:dyDescent="0.2">
      <c r="C65242"/>
      <c r="M65242"/>
    </row>
    <row r="65243" spans="3:13" ht="12.75" customHeight="1" x14ac:dyDescent="0.2">
      <c r="C65243"/>
      <c r="M65243"/>
    </row>
    <row r="65244" spans="3:13" ht="12.75" customHeight="1" x14ac:dyDescent="0.2">
      <c r="C65244"/>
      <c r="M65244"/>
    </row>
    <row r="65245" spans="3:13" ht="12.75" customHeight="1" x14ac:dyDescent="0.2">
      <c r="C65245"/>
      <c r="M65245"/>
    </row>
    <row r="65246" spans="3:13" ht="12.75" customHeight="1" x14ac:dyDescent="0.2">
      <c r="C65246"/>
      <c r="M65246"/>
    </row>
    <row r="65247" spans="3:13" ht="12.75" customHeight="1" x14ac:dyDescent="0.2">
      <c r="C65247"/>
      <c r="M65247"/>
    </row>
    <row r="65248" spans="3:13" ht="12.75" customHeight="1" x14ac:dyDescent="0.2">
      <c r="C65248"/>
      <c r="M65248"/>
    </row>
    <row r="65249" spans="3:13" ht="12.75" customHeight="1" x14ac:dyDescent="0.2">
      <c r="C65249"/>
      <c r="M65249"/>
    </row>
    <row r="65250" spans="3:13" ht="12.75" customHeight="1" x14ac:dyDescent="0.2">
      <c r="C65250"/>
      <c r="M65250"/>
    </row>
    <row r="65251" spans="3:13" ht="12.75" customHeight="1" x14ac:dyDescent="0.2">
      <c r="C65251"/>
      <c r="M65251"/>
    </row>
    <row r="65252" spans="3:13" ht="12.75" customHeight="1" x14ac:dyDescent="0.2">
      <c r="C65252"/>
      <c r="M65252"/>
    </row>
    <row r="65253" spans="3:13" ht="12.75" customHeight="1" x14ac:dyDescent="0.2">
      <c r="C65253"/>
      <c r="M65253"/>
    </row>
    <row r="65254" spans="3:13" ht="12.75" customHeight="1" x14ac:dyDescent="0.2">
      <c r="C65254"/>
      <c r="M65254"/>
    </row>
    <row r="65255" spans="3:13" ht="12.75" customHeight="1" x14ac:dyDescent="0.2">
      <c r="C65255"/>
      <c r="M65255"/>
    </row>
    <row r="65256" spans="3:13" ht="12.75" customHeight="1" x14ac:dyDescent="0.2">
      <c r="C65256"/>
      <c r="M65256"/>
    </row>
    <row r="65257" spans="3:13" ht="12.75" customHeight="1" x14ac:dyDescent="0.2">
      <c r="C65257"/>
      <c r="M65257"/>
    </row>
    <row r="65258" spans="3:13" ht="12.75" customHeight="1" x14ac:dyDescent="0.2">
      <c r="C65258"/>
      <c r="M65258"/>
    </row>
    <row r="65259" spans="3:13" ht="12.75" customHeight="1" x14ac:dyDescent="0.2">
      <c r="C65259"/>
      <c r="M65259"/>
    </row>
    <row r="65260" spans="3:13" ht="12.75" customHeight="1" x14ac:dyDescent="0.2">
      <c r="C65260"/>
      <c r="M65260"/>
    </row>
    <row r="65261" spans="3:13" ht="12.75" customHeight="1" x14ac:dyDescent="0.2">
      <c r="C65261"/>
      <c r="M65261"/>
    </row>
    <row r="65262" spans="3:13" ht="12.75" customHeight="1" x14ac:dyDescent="0.2">
      <c r="C65262"/>
      <c r="M65262"/>
    </row>
    <row r="65263" spans="3:13" ht="12.75" customHeight="1" x14ac:dyDescent="0.2">
      <c r="C65263"/>
      <c r="M65263"/>
    </row>
    <row r="65264" spans="3:13" ht="12.75" customHeight="1" x14ac:dyDescent="0.2">
      <c r="C65264"/>
      <c r="M65264"/>
    </row>
    <row r="65265" spans="3:13" ht="12.75" customHeight="1" x14ac:dyDescent="0.2">
      <c r="C65265"/>
      <c r="M65265"/>
    </row>
    <row r="65266" spans="3:13" ht="12.75" customHeight="1" x14ac:dyDescent="0.2">
      <c r="C65266"/>
      <c r="M65266"/>
    </row>
    <row r="65267" spans="3:13" ht="12.75" customHeight="1" x14ac:dyDescent="0.2">
      <c r="C65267"/>
      <c r="M65267"/>
    </row>
    <row r="65268" spans="3:13" ht="12.75" customHeight="1" x14ac:dyDescent="0.2">
      <c r="C65268"/>
      <c r="M65268"/>
    </row>
    <row r="65269" spans="3:13" ht="12.75" customHeight="1" x14ac:dyDescent="0.2">
      <c r="C65269"/>
      <c r="M65269"/>
    </row>
    <row r="65270" spans="3:13" ht="12.75" customHeight="1" x14ac:dyDescent="0.2">
      <c r="C65270"/>
      <c r="M65270"/>
    </row>
    <row r="65271" spans="3:13" ht="12.75" customHeight="1" x14ac:dyDescent="0.2">
      <c r="C65271"/>
      <c r="M65271"/>
    </row>
    <row r="65272" spans="3:13" ht="12.75" customHeight="1" x14ac:dyDescent="0.2">
      <c r="C65272"/>
      <c r="M65272"/>
    </row>
    <row r="65273" spans="3:13" ht="12.75" customHeight="1" x14ac:dyDescent="0.2">
      <c r="C65273"/>
      <c r="M65273"/>
    </row>
    <row r="65274" spans="3:13" ht="12.75" customHeight="1" x14ac:dyDescent="0.2">
      <c r="C65274"/>
      <c r="M65274"/>
    </row>
    <row r="65275" spans="3:13" ht="12.75" customHeight="1" x14ac:dyDescent="0.2">
      <c r="C65275"/>
      <c r="M65275"/>
    </row>
    <row r="65276" spans="3:13" ht="12.75" customHeight="1" x14ac:dyDescent="0.2">
      <c r="C65276"/>
      <c r="M65276"/>
    </row>
    <row r="65277" spans="3:13" ht="12.75" customHeight="1" x14ac:dyDescent="0.2">
      <c r="C65277"/>
      <c r="M65277"/>
    </row>
    <row r="65278" spans="3:13" ht="12.75" customHeight="1" x14ac:dyDescent="0.2">
      <c r="C65278"/>
      <c r="M65278"/>
    </row>
    <row r="65279" spans="3:13" ht="12.75" customHeight="1" x14ac:dyDescent="0.2">
      <c r="C65279"/>
      <c r="M65279"/>
    </row>
    <row r="65280" spans="3:13" ht="12.75" customHeight="1" x14ac:dyDescent="0.2">
      <c r="C65280"/>
      <c r="M65280"/>
    </row>
    <row r="65281" spans="3:13" ht="12.75" customHeight="1" x14ac:dyDescent="0.2">
      <c r="C65281"/>
      <c r="M65281"/>
    </row>
    <row r="65282" spans="3:13" ht="12.75" customHeight="1" x14ac:dyDescent="0.2">
      <c r="C65282"/>
      <c r="M65282"/>
    </row>
    <row r="65283" spans="3:13" ht="12.75" customHeight="1" x14ac:dyDescent="0.2">
      <c r="C65283"/>
      <c r="M65283"/>
    </row>
    <row r="65284" spans="3:13" ht="12.75" customHeight="1" x14ac:dyDescent="0.2">
      <c r="C65284"/>
      <c r="M65284"/>
    </row>
    <row r="65285" spans="3:13" ht="12.75" customHeight="1" x14ac:dyDescent="0.2">
      <c r="C65285"/>
      <c r="M65285"/>
    </row>
    <row r="65286" spans="3:13" ht="12.75" customHeight="1" x14ac:dyDescent="0.2">
      <c r="C65286"/>
      <c r="M65286"/>
    </row>
    <row r="65287" spans="3:13" ht="12.75" customHeight="1" x14ac:dyDescent="0.2">
      <c r="C65287"/>
      <c r="M65287"/>
    </row>
    <row r="65288" spans="3:13" ht="12.75" customHeight="1" x14ac:dyDescent="0.2">
      <c r="C65288"/>
      <c r="M65288"/>
    </row>
    <row r="65289" spans="3:13" ht="12.75" customHeight="1" x14ac:dyDescent="0.2">
      <c r="C65289"/>
      <c r="M65289"/>
    </row>
    <row r="65290" spans="3:13" ht="12.75" customHeight="1" x14ac:dyDescent="0.2">
      <c r="C65290"/>
      <c r="M65290"/>
    </row>
    <row r="65291" spans="3:13" ht="12.75" customHeight="1" x14ac:dyDescent="0.2">
      <c r="C65291"/>
      <c r="M65291"/>
    </row>
    <row r="65292" spans="3:13" ht="12.75" customHeight="1" x14ac:dyDescent="0.2">
      <c r="C65292"/>
      <c r="M65292"/>
    </row>
    <row r="65293" spans="3:13" ht="12.75" customHeight="1" x14ac:dyDescent="0.2">
      <c r="C65293"/>
      <c r="M65293"/>
    </row>
    <row r="65294" spans="3:13" ht="12.75" customHeight="1" x14ac:dyDescent="0.2">
      <c r="C65294"/>
      <c r="M65294"/>
    </row>
    <row r="65295" spans="3:13" ht="12.75" customHeight="1" x14ac:dyDescent="0.2">
      <c r="C65295"/>
      <c r="M65295"/>
    </row>
  </sheetData>
  <sheetProtection password="BD1F" sheet="1" objects="1" scenarios="1" autoFilter="0"/>
  <autoFilter ref="C15:C27"/>
  <mergeCells count="15">
    <mergeCell ref="F6:H6"/>
    <mergeCell ref="Q6:R6"/>
    <mergeCell ref="Y6:Z6"/>
    <mergeCell ref="F7:H7"/>
    <mergeCell ref="Q7:R7"/>
    <mergeCell ref="Y7:Z7"/>
    <mergeCell ref="E15:H15"/>
    <mergeCell ref="E9:F9"/>
    <mergeCell ref="G9:H9"/>
    <mergeCell ref="S9:T9"/>
    <mergeCell ref="U9:Z9"/>
    <mergeCell ref="E10:F10"/>
    <mergeCell ref="G10:H10"/>
    <mergeCell ref="S10:T10"/>
    <mergeCell ref="U10:Z10"/>
  </mergeCells>
  <phoneticPr fontId="38" type="noConversion"/>
  <conditionalFormatting sqref="D14:I14 D16:I18 D20:I23">
    <cfRule type="expression" dxfId="222" priority="8891" stopIfTrue="1">
      <formula>$B14=1</formula>
    </cfRule>
    <cfRule type="expression" dxfId="221" priority="8892" stopIfTrue="1">
      <formula>OR($B14=0,$B14=2,$B14=3,$B14=4)</formula>
    </cfRule>
  </conditionalFormatting>
  <conditionalFormatting sqref="M27:N27 M12:N18 M20:N23">
    <cfRule type="expression" dxfId="220" priority="8893" stopIfTrue="1">
      <formula>ACOMPANHAMENTO="BM"</formula>
    </cfRule>
    <cfRule type="expression" dxfId="219" priority="8894" stopIfTrue="1">
      <formula>OR($B12=0,$B12=2,$B12=3,$B12=4)</formula>
    </cfRule>
    <cfRule type="expression" dxfId="218" priority="8895" stopIfTrue="1">
      <formula>$B12=1</formula>
    </cfRule>
  </conditionalFormatting>
  <conditionalFormatting sqref="K12:K18 K20:K27">
    <cfRule type="expression" dxfId="217" priority="8896" stopIfTrue="1">
      <formula>OR(ACOMPANHAMENTO="BM",$A$12&lt;&gt;"Manual")</formula>
    </cfRule>
    <cfRule type="expression" dxfId="216" priority="8897" stopIfTrue="1">
      <formula>$B12=1</formula>
    </cfRule>
    <cfRule type="expression" dxfId="215" priority="8898" stopIfTrue="1">
      <formula>OR($B12=2,$B12=3,$B12=4,$B12=0)</formula>
    </cfRule>
  </conditionalFormatting>
  <conditionalFormatting sqref="O12:AA18 O20:AA27">
    <cfRule type="expression" dxfId="214" priority="2482" stopIfTrue="1">
      <formula>ACOMPANHAMENTO="BM"</formula>
    </cfRule>
    <cfRule type="expression" dxfId="213" priority="8900" stopIfTrue="1">
      <formula>AND(O$12&lt;&gt;".",OR($B12=0,$B12=2,$B12=3,$B12=4,AND(O$12="",$B12&lt;&gt;"Empty"),OFFSET(O$1,0,-1)=0))</formula>
    </cfRule>
    <cfRule type="expression" dxfId="212" priority="8901" stopIfTrue="1">
      <formula>AND($B12=1,O$1=1)</formula>
    </cfRule>
  </conditionalFormatting>
  <conditionalFormatting sqref="Q15:Z15">
    <cfRule type="expression" dxfId="211" priority="8899">
      <formula>Q$11="▼"</formula>
    </cfRule>
  </conditionalFormatting>
  <conditionalFormatting sqref="O15">
    <cfRule type="expression" dxfId="210" priority="2481">
      <formula>O$11="▼"</formula>
    </cfRule>
  </conditionalFormatting>
  <conditionalFormatting sqref="D25:I26">
    <cfRule type="expression" dxfId="209" priority="57" stopIfTrue="1">
      <formula>$B25=1</formula>
    </cfRule>
    <cfRule type="expression" dxfId="208" priority="58" stopIfTrue="1">
      <formula>OR($B25=0,$B25=2,$B25=3,$B25=4)</formula>
    </cfRule>
  </conditionalFormatting>
  <conditionalFormatting sqref="M25:N26">
    <cfRule type="expression" dxfId="207" priority="59" stopIfTrue="1">
      <formula>ACOMPANHAMENTO="BM"</formula>
    </cfRule>
    <cfRule type="expression" dxfId="206" priority="60" stopIfTrue="1">
      <formula>OR($B25=0,$B25=2,$B25=3,$B25=4)</formula>
    </cfRule>
    <cfRule type="expression" dxfId="205" priority="61" stopIfTrue="1">
      <formula>$B25=1</formula>
    </cfRule>
  </conditionalFormatting>
  <conditionalFormatting sqref="D24:I24">
    <cfRule type="expression" dxfId="204" priority="13" stopIfTrue="1">
      <formula>$B24=1</formula>
    </cfRule>
    <cfRule type="expression" dxfId="203" priority="14" stopIfTrue="1">
      <formula>OR($B24=0,$B24=2,$B24=3,$B24=4)</formula>
    </cfRule>
  </conditionalFormatting>
  <conditionalFormatting sqref="M24:N24">
    <cfRule type="expression" dxfId="202" priority="15" stopIfTrue="1">
      <formula>ACOMPANHAMENTO="BM"</formula>
    </cfRule>
    <cfRule type="expression" dxfId="201" priority="16" stopIfTrue="1">
      <formula>OR($B24=0,$B24=2,$B24=3,$B24=4)</formula>
    </cfRule>
    <cfRule type="expression" dxfId="200" priority="17" stopIfTrue="1">
      <formula>$B24=1</formula>
    </cfRule>
  </conditionalFormatting>
  <conditionalFormatting sqref="D19:I19">
    <cfRule type="expression" dxfId="199" priority="2" stopIfTrue="1">
      <formula>$B19=1</formula>
    </cfRule>
    <cfRule type="expression" dxfId="198" priority="3" stopIfTrue="1">
      <formula>OR($B19=0,$B19=2,$B19=3,$B19=4)</formula>
    </cfRule>
  </conditionalFormatting>
  <conditionalFormatting sqref="M19:N19">
    <cfRule type="expression" dxfId="197" priority="4" stopIfTrue="1">
      <formula>ACOMPANHAMENTO="BM"</formula>
    </cfRule>
    <cfRule type="expression" dxfId="196" priority="5" stopIfTrue="1">
      <formula>OR($B19=0,$B19=2,$B19=3,$B19=4)</formula>
    </cfRule>
    <cfRule type="expression" dxfId="195" priority="6" stopIfTrue="1">
      <formula>$B19=1</formula>
    </cfRule>
  </conditionalFormatting>
  <conditionalFormatting sqref="K19">
    <cfRule type="expression" dxfId="194" priority="7" stopIfTrue="1">
      <formula>OR(ACOMPANHAMENTO="BM",$A$12&lt;&gt;"Manual")</formula>
    </cfRule>
    <cfRule type="expression" dxfId="193" priority="8" stopIfTrue="1">
      <formula>$B19=1</formula>
    </cfRule>
    <cfRule type="expression" dxfId="192" priority="9" stopIfTrue="1">
      <formula>OR($B19=2,$B19=3,$B19=4,$B19=0)</formula>
    </cfRule>
  </conditionalFormatting>
  <conditionalFormatting sqref="O19:AA19">
    <cfRule type="expression" dxfId="191" priority="1" stopIfTrue="1">
      <formula>ACOMPANHAMENTO="BM"</formula>
    </cfRule>
    <cfRule type="expression" dxfId="190" priority="10" stopIfTrue="1">
      <formula>AND(O$12&lt;&gt;".",OR($B19=0,$B19=2,$B19=3,$B19=4,AND(O$12="",$B19&lt;&gt;"Empty"),OFFSET(O$1,0,-1)=0))</formula>
    </cfRule>
    <cfRule type="expression" dxfId="189" priority="11" stopIfTrue="1">
      <formula>AND($B19=1,O$1=1)</formula>
    </cfRule>
  </conditionalFormatting>
  <dataValidations count="4">
    <dataValidation type="decimal" operator="greaterThan" allowBlank="1" showErrorMessage="1" error="Apenas números decimais maiores que zero." sqref="O14 Q14:Z14 Q16:Z26 O16:O26">
      <formula1>0</formula1>
      <formula2>0</formula2>
    </dataValidation>
    <dataValidation type="list" allowBlank="1" showErrorMessage="1" sqref="K14 K16:K26">
      <formula1>EVENTOS.ListaValidacao</formula1>
      <formula2>0</formula2>
    </dataValidation>
    <dataValidation allowBlank="1" showInputMessage="1" showErrorMessage="1" prompt="A quantidade é digitada nas colunas Q em diante, após preencher o nome das frentes de obra na célula Q12 em diante" sqref="H14 H16:H26"/>
    <dataValidation allowBlank="1" showInputMessage="1" showErrorMessage="1" prompt="A frente de obra é uma porção física da obra. Exemplos: Única; Rua A; Rua B; Trecho 01; Trecho 02; 1º Andar; 2º Andar; Copa; Banheiro" sqref="Q12"/>
  </dataValidations>
  <pageMargins left="0.78740157480314998" right="0.78740157480314998" top="0.78740157480314998" bottom="0.78740157480314998" header="0.59055118110236204" footer="0.59055118110236204"/>
  <pageSetup paperSize="9" scale="65" firstPageNumber="0" orientation="landscape" r:id="rId1"/>
  <headerFooter alignWithMargins="0">
    <oddHeader>&amp;C&amp;14I</oddHeader>
    <oddFooter>&amp;LPMv3.10&amp;R&amp;P / &amp;N</oddFooter>
  </headerFooter>
  <colBreaks count="1" manualBreakCount="1">
    <brk id="27"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10">
    <pageSetUpPr fitToPage="1"/>
  </sheetPr>
  <dimension ref="A1:AF79"/>
  <sheetViews>
    <sheetView showGridLines="0" zoomScaleNormal="100" zoomScaleSheetLayoutView="100" workbookViewId="0">
      <pane xSplit="3" ySplit="13" topLeftCell="D14" activePane="bottomRight" state="frozen"/>
      <selection pane="topRight" activeCell="D3" sqref="D3"/>
      <selection pane="bottomLeft" activeCell="A13" sqref="A13"/>
      <selection pane="bottomRight"/>
    </sheetView>
  </sheetViews>
  <sheetFormatPr defaultRowHeight="12.75" x14ac:dyDescent="0.2"/>
  <cols>
    <col min="1" max="1" width="3.5703125" customWidth="1"/>
    <col min="2" max="2" width="8.140625" customWidth="1"/>
    <col min="3" max="3" width="36.85546875" customWidth="1"/>
    <col min="4" max="4" width="0.85546875" customWidth="1"/>
    <col min="5" max="6" width="9.140625" hidden="1" customWidth="1"/>
    <col min="7" max="31" width="5.5703125" customWidth="1"/>
    <col min="32" max="32" width="5.5703125" hidden="1" customWidth="1"/>
  </cols>
  <sheetData>
    <row r="1" spans="1:31" hidden="1" x14ac:dyDescent="0.2">
      <c r="A1" s="7" t="e">
        <f ca="1">IF(AUTOEVENTO="Manual",IF(EVENTOS!$F1&gt;0,"F",""),IF(CRONOPLE!B1&lt;=MAX(CÁLCULO!$M$15:$M$27),"F",""))</f>
        <v>#REF!</v>
      </c>
      <c r="B1" s="248" t="e">
        <f ca="1">OFFSET(B1,-1,0)+1</f>
        <v>#REF!</v>
      </c>
      <c r="C1" s="515" t="e">
        <f ca="1">IF(AUTOEVENTO="Manual",IF($B1&gt;0,OFFSET(EVENTOS!$D$15,$B1-$B$15,0),0),IF(B1&lt;=MAX(CÁLCULO!$M$15:$M$27),VLOOKUP($B1,CÁLCULO!$M$15:$N$27,2,FALSE),0))</f>
        <v>#REF!</v>
      </c>
      <c r="D1" s="560"/>
      <c r="E1" s="249"/>
      <c r="F1" t="e">
        <f ca="1">IF($C1=0,"",CONCATENATE($B1,". ",$C1))</f>
        <v>#REF!</v>
      </c>
      <c r="G1" s="559"/>
      <c r="H1" s="559"/>
      <c r="I1" s="559"/>
      <c r="J1" s="559"/>
      <c r="K1" s="559"/>
      <c r="L1" s="559"/>
      <c r="M1" s="559"/>
      <c r="N1" s="559"/>
      <c r="O1" s="559"/>
      <c r="P1" s="559"/>
      <c r="Q1" s="559"/>
      <c r="R1" s="559"/>
      <c r="S1" s="559"/>
      <c r="T1" s="559"/>
      <c r="U1" s="559"/>
      <c r="V1" s="559"/>
      <c r="W1" s="559"/>
      <c r="X1" s="559"/>
      <c r="Y1" s="559"/>
      <c r="Z1" s="559"/>
      <c r="AA1" s="559"/>
      <c r="AB1" s="559"/>
      <c r="AC1" s="559"/>
      <c r="AD1" s="559"/>
      <c r="AE1" s="559"/>
    </row>
    <row r="2" spans="1:31" ht="30" customHeight="1" x14ac:dyDescent="0.2">
      <c r="G2" s="82" t="s">
        <v>782</v>
      </c>
      <c r="AC2" s="739" t="s">
        <v>760</v>
      </c>
      <c r="AD2" s="740"/>
      <c r="AE2" s="741"/>
    </row>
    <row r="3" spans="1:31" ht="12.75" customHeight="1" x14ac:dyDescent="0.2">
      <c r="G3" s="82"/>
      <c r="AD3" s="484"/>
      <c r="AE3" s="484"/>
    </row>
    <row r="4" spans="1:31" ht="12.75" customHeight="1" x14ac:dyDescent="0.2">
      <c r="B4" s="689" t="s">
        <v>654</v>
      </c>
      <c r="C4" s="689"/>
      <c r="D4" s="689"/>
      <c r="G4" s="701" t="s">
        <v>652</v>
      </c>
      <c r="H4" s="701"/>
      <c r="I4" s="701"/>
      <c r="J4" s="701" t="s">
        <v>710</v>
      </c>
      <c r="K4" s="701"/>
      <c r="L4" s="701"/>
      <c r="M4" s="209" t="s">
        <v>761</v>
      </c>
      <c r="N4" s="213"/>
      <c r="P4" s="187"/>
      <c r="Q4" s="187"/>
      <c r="R4" s="187"/>
      <c r="U4" s="485"/>
      <c r="V4" s="187"/>
      <c r="W4" s="187"/>
      <c r="X4" s="187"/>
      <c r="Y4" s="187"/>
      <c r="AD4" s="484"/>
      <c r="AE4" s="486"/>
    </row>
    <row r="5" spans="1:31" ht="12.75" customHeight="1" x14ac:dyDescent="0.2">
      <c r="B5" s="693" t="str">
        <f>Import.Proponente</f>
        <v>PREFEITURA MUNICIPAL</v>
      </c>
      <c r="C5" s="693"/>
      <c r="D5" s="693"/>
      <c r="G5" s="706">
        <f>Import.CR</f>
        <v>0</v>
      </c>
      <c r="H5" s="706"/>
      <c r="I5" s="706"/>
      <c r="J5" s="706">
        <f>Import.SICONV</f>
        <v>0</v>
      </c>
      <c r="K5" s="706"/>
      <c r="L5" s="706"/>
      <c r="M5" s="715" t="str">
        <f>Import.Apelido</f>
        <v>COBERTURA DE QUADRA</v>
      </c>
      <c r="N5" s="716"/>
      <c r="O5" s="716"/>
      <c r="P5" s="716"/>
      <c r="Q5" s="716"/>
      <c r="R5" s="716"/>
      <c r="S5" s="716"/>
      <c r="T5" s="716"/>
      <c r="U5" s="716"/>
      <c r="V5" s="716"/>
      <c r="W5" s="716"/>
      <c r="X5" s="716"/>
      <c r="Y5" s="716"/>
      <c r="Z5" s="716"/>
      <c r="AA5" s="716"/>
      <c r="AB5" s="716"/>
      <c r="AC5" s="716"/>
      <c r="AD5" s="716"/>
      <c r="AE5" s="742"/>
    </row>
    <row r="6" spans="1:31" ht="14.25" customHeight="1" x14ac:dyDescent="0.25">
      <c r="B6" s="250" t="str" cm="1">
        <f t="array" aca="1" ref="B6" ca="1">IF(ACOMPANHAMENTO="BM","NO ACOMPANHAMENTO POR BM, UTILIZE A ABA CRONO",
  IF(MAX($B$14:$B$65)&lt;MAX(CÁLCULO!$M$15:$M$27),"ERRO: NÚMERO DE EVENTOS INSUFICIENTE, CLIQUE EM ATUALIZAR LINHAS",
  IF(ROUND(OFFSET(CRONO!$AG$36,0,-1),2)&lt;&gt;CRONO!$R$27,"ERRO: CRONOGRAMA NÃO FECHA 100%","")))</f>
        <v>NO ACOMPANHAMENTO POR BM, UTILIZE A ABA CRONO</v>
      </c>
    </row>
    <row r="7" spans="1:31" ht="15" customHeight="1" thickBot="1" x14ac:dyDescent="0.25">
      <c r="B7" s="523" t="str" cm="1">
        <f t="array" aca="1" ref="B7" ca="1">IF(AdmLocal="Automática","","1. Selecione o Título do Evento da Administração Local:")</f>
        <v>1. Selecione o Título do Evento da Administração Local:</v>
      </c>
    </row>
    <row r="8" spans="1:31" ht="13.5" thickBot="1" x14ac:dyDescent="0.25">
      <c r="A8" s="554" t="e">
        <f>MID(Import.EventoAdmLocal,1,SEARCH(".",Import.EventoAdmLocal)-1)</f>
        <v>#VALUE!</v>
      </c>
      <c r="B8" s="722"/>
      <c r="C8" s="723"/>
      <c r="D8" s="577" t="str">
        <f ca="1">IF($B$7="","",IF(AND($B$15=0,$B$8=""),"◄ Não foi indicado o Evento de Administração Local",IF(ISERROR(MATCH(Import.EventoAdmLocal,$F$15:$F$65,0)),"◄ Selecione um Título de Evento válido para a Administração Local","")))</f>
        <v>◄ Não foi indicado o Evento de Administração Local</v>
      </c>
    </row>
    <row r="9" spans="1:31" ht="3.95" customHeight="1" x14ac:dyDescent="0.2">
      <c r="A9" s="554"/>
    </row>
    <row r="10" spans="1:31" ht="15" customHeight="1" x14ac:dyDescent="0.2">
      <c r="A10" s="554" t="e">
        <f>MATCH(VALUE(A8),CÁLCULO!$M$15:$M$27,0)-2</f>
        <v>#VALUE!</v>
      </c>
      <c r="B10" s="523" t="str">
        <f ca="1">CONCATENATE(IF(AdmLocal="Automática",1,2),". Digite nas células em amarelo o número do período em que os eventos serão concluídos:")</f>
        <v>2. Digite nas células em amarelo o número do período em que os eventos serão concluídos:</v>
      </c>
    </row>
    <row r="11" spans="1:31" ht="65.25" customHeight="1" x14ac:dyDescent="0.2">
      <c r="A11" s="490" t="s">
        <v>657</v>
      </c>
      <c r="C11" s="252"/>
      <c r="E11" s="253" t="str">
        <f ca="1">IF(E$12&gt;CÁLCULO.FrentesPreenchidas,"",OFFSET(CÁLCULO!$P$12,0,E$12))</f>
        <v/>
      </c>
      <c r="G11" s="253" t="str">
        <f ca="1">IF(G$12&gt;CÁLCULO.FrentesPreenchidas,"",OFFSET(CÁLCULO!$P$12,0,G$12))</f>
        <v/>
      </c>
      <c r="H11" s="253" t="str">
        <f ca="1">IF(H$12&gt;CÁLCULO.FrentesPreenchidas,"",OFFSET(CÁLCULO!$P$12,0,H$12))</f>
        <v/>
      </c>
      <c r="I11" s="253" t="str">
        <f ca="1">IF(I$12&gt;CÁLCULO.FrentesPreenchidas,"",OFFSET(CÁLCULO!$P$12,0,I$12))</f>
        <v/>
      </c>
      <c r="J11" s="253" t="str">
        <f ca="1">IF(J$12&gt;CÁLCULO.FrentesPreenchidas,"",OFFSET(CÁLCULO!$P$12,0,J$12))</f>
        <v/>
      </c>
      <c r="K11" s="253" t="str">
        <f ca="1">IF(K$12&gt;CÁLCULO.FrentesPreenchidas,"",OFFSET(CÁLCULO!$P$12,0,K$12))</f>
        <v/>
      </c>
      <c r="L11" s="253" t="str">
        <f ca="1">IF(L$12&gt;CÁLCULO.FrentesPreenchidas,"",OFFSET(CÁLCULO!$P$12,0,L$12))</f>
        <v/>
      </c>
      <c r="M11" s="253" t="str">
        <f ca="1">IF(M$12&gt;CÁLCULO.FrentesPreenchidas,"",OFFSET(CÁLCULO!$P$12,0,M$12))</f>
        <v/>
      </c>
      <c r="N11" s="253" t="str">
        <f ca="1">IF(N$12&gt;CÁLCULO.FrentesPreenchidas,"",OFFSET(CÁLCULO!$P$12,0,N$12))</f>
        <v/>
      </c>
      <c r="O11" s="253" t="str">
        <f ca="1">IF(O$12&gt;CÁLCULO.FrentesPreenchidas,"",OFFSET(CÁLCULO!$P$12,0,O$12))</f>
        <v/>
      </c>
      <c r="P11" s="253" t="str">
        <f ca="1">IF(P$12&gt;CÁLCULO.FrentesPreenchidas,"",OFFSET(CÁLCULO!$P$12,0,P$12))</f>
        <v/>
      </c>
      <c r="Q11" s="253" t="str">
        <f ca="1">IF(Q$12&gt;CÁLCULO.FrentesPreenchidas,"",OFFSET(CÁLCULO!$P$12,0,Q$12))</f>
        <v/>
      </c>
      <c r="R11" s="253" t="str">
        <f ca="1">IF(R$12&gt;CÁLCULO.FrentesPreenchidas,"",OFFSET(CÁLCULO!$P$12,0,R$12))</f>
        <v/>
      </c>
      <c r="S11" s="253" t="str">
        <f ca="1">IF(S$12&gt;CÁLCULO.FrentesPreenchidas,"",OFFSET(CÁLCULO!$P$12,0,S$12))</f>
        <v/>
      </c>
      <c r="T11" s="253" t="str">
        <f ca="1">IF(T$12&gt;CÁLCULO.FrentesPreenchidas,"",OFFSET(CÁLCULO!$P$12,0,T$12))</f>
        <v/>
      </c>
      <c r="U11" s="253" t="str">
        <f ca="1">IF(U$12&gt;CÁLCULO.FrentesPreenchidas,"",OFFSET(CÁLCULO!$P$12,0,U$12))</f>
        <v/>
      </c>
      <c r="V11" s="253" t="str">
        <f ca="1">IF(V$12&gt;CÁLCULO.FrentesPreenchidas,"",OFFSET(CÁLCULO!$P$12,0,V$12))</f>
        <v/>
      </c>
      <c r="W11" s="253" t="str">
        <f ca="1">IF(W$12&gt;CÁLCULO.FrentesPreenchidas,"",OFFSET(CÁLCULO!$P$12,0,W$12))</f>
        <v/>
      </c>
      <c r="X11" s="253" t="str">
        <f ca="1">IF(X$12&gt;CÁLCULO.FrentesPreenchidas,"",OFFSET(CÁLCULO!$P$12,0,X$12))</f>
        <v/>
      </c>
      <c r="Y11" s="253" t="str">
        <f ca="1">IF(Y$12&gt;CÁLCULO.FrentesPreenchidas,"",OFFSET(CÁLCULO!$P$12,0,Y$12))</f>
        <v/>
      </c>
      <c r="Z11" s="253" t="str">
        <f ca="1">IF(Z$12&gt;CÁLCULO.FrentesPreenchidas,"",OFFSET(CÁLCULO!$P$12,0,Z$12))</f>
        <v/>
      </c>
      <c r="AA11" s="253" t="str">
        <f ca="1">IF(AA$12&gt;CÁLCULO.FrentesPreenchidas,"",OFFSET(CÁLCULO!$P$12,0,AA$12))</f>
        <v/>
      </c>
      <c r="AB11" s="253" t="str">
        <f ca="1">IF(AB$12&gt;CÁLCULO.FrentesPreenchidas,"",OFFSET(CÁLCULO!$P$12,0,AB$12))</f>
        <v/>
      </c>
      <c r="AC11" s="253" t="str">
        <f ca="1">IF(AC$12&gt;CÁLCULO.FrentesPreenchidas,"",OFFSET(CÁLCULO!$P$12,0,AC$12))</f>
        <v/>
      </c>
      <c r="AD11" s="253" t="str">
        <f ca="1">IF(AD$12&gt;CÁLCULO.FrentesPreenchidas,"",OFFSET(CÁLCULO!$P$12,0,AD$12))</f>
        <v/>
      </c>
      <c r="AE11" s="253" t="str">
        <f ca="1">IF(AE$12&gt;CÁLCULO.FrentesPreenchidas,"",OFFSET(CÁLCULO!$P$12,0,AE$12))</f>
        <v/>
      </c>
    </row>
    <row r="12" spans="1:31" ht="12.75" customHeight="1" x14ac:dyDescent="0.2">
      <c r="A12" s="491" t="s">
        <v>662</v>
      </c>
      <c r="B12" s="744" t="s">
        <v>764</v>
      </c>
      <c r="C12" s="744" t="s">
        <v>783</v>
      </c>
      <c r="E12" s="254">
        <f ca="1">OFFSET(E12,0,-1)+1</f>
        <v>1</v>
      </c>
      <c r="G12" s="254">
        <f ca="1">OFFSET(G12,0,-1)+1</f>
        <v>1</v>
      </c>
      <c r="H12" s="254">
        <f ca="1">OFFSET(H12,0,-1)+1</f>
        <v>2</v>
      </c>
      <c r="I12" s="254">
        <f t="shared" ref="I12:AE12" ca="1" si="0">OFFSET(I12,0,-1)+1</f>
        <v>3</v>
      </c>
      <c r="J12" s="254">
        <f t="shared" ca="1" si="0"/>
        <v>4</v>
      </c>
      <c r="K12" s="254">
        <f t="shared" ca="1" si="0"/>
        <v>5</v>
      </c>
      <c r="L12" s="254">
        <f t="shared" ca="1" si="0"/>
        <v>6</v>
      </c>
      <c r="M12" s="254">
        <f t="shared" ca="1" si="0"/>
        <v>7</v>
      </c>
      <c r="N12" s="254">
        <f t="shared" ca="1" si="0"/>
        <v>8</v>
      </c>
      <c r="O12" s="254">
        <f t="shared" ca="1" si="0"/>
        <v>9</v>
      </c>
      <c r="P12" s="254">
        <f t="shared" ca="1" si="0"/>
        <v>10</v>
      </c>
      <c r="Q12" s="254">
        <f t="shared" ca="1" si="0"/>
        <v>11</v>
      </c>
      <c r="R12" s="254">
        <f t="shared" ca="1" si="0"/>
        <v>12</v>
      </c>
      <c r="S12" s="254">
        <f t="shared" ca="1" si="0"/>
        <v>13</v>
      </c>
      <c r="T12" s="254">
        <f t="shared" ca="1" si="0"/>
        <v>14</v>
      </c>
      <c r="U12" s="254">
        <f t="shared" ca="1" si="0"/>
        <v>15</v>
      </c>
      <c r="V12" s="254">
        <f t="shared" ca="1" si="0"/>
        <v>16</v>
      </c>
      <c r="W12" s="254">
        <f t="shared" ca="1" si="0"/>
        <v>17</v>
      </c>
      <c r="X12" s="254">
        <f t="shared" ca="1" si="0"/>
        <v>18</v>
      </c>
      <c r="Y12" s="254">
        <f t="shared" ca="1" si="0"/>
        <v>19</v>
      </c>
      <c r="Z12" s="254">
        <f t="shared" ca="1" si="0"/>
        <v>20</v>
      </c>
      <c r="AA12" s="254">
        <f t="shared" ca="1" si="0"/>
        <v>21</v>
      </c>
      <c r="AB12" s="254">
        <f t="shared" ca="1" si="0"/>
        <v>22</v>
      </c>
      <c r="AC12" s="254">
        <f t="shared" ca="1" si="0"/>
        <v>23</v>
      </c>
      <c r="AD12" s="254">
        <f t="shared" ca="1" si="0"/>
        <v>24</v>
      </c>
      <c r="AE12" s="254">
        <f t="shared" ca="1" si="0"/>
        <v>25</v>
      </c>
    </row>
    <row r="13" spans="1:31" x14ac:dyDescent="0.2">
      <c r="A13" t="s">
        <v>657</v>
      </c>
      <c r="B13" s="744"/>
      <c r="C13" s="744"/>
      <c r="E13" s="255"/>
      <c r="G13" s="256"/>
      <c r="H13" s="255"/>
      <c r="I13" s="255"/>
      <c r="J13" s="255"/>
      <c r="K13" s="255"/>
      <c r="L13" s="255"/>
      <c r="M13" s="583" t="str">
        <f ca="1">IF(CRONOPLE.Erro="ERRO: CRONOGRAMA NÃO FECHA 100%","Informe abaixo o NÚMERO DO PERÍODO em que os eventos serão concluídos","")</f>
        <v/>
      </c>
      <c r="N13" s="255"/>
      <c r="O13" s="255"/>
      <c r="P13" s="255"/>
      <c r="Q13" s="255"/>
      <c r="R13" s="255"/>
      <c r="S13" s="255"/>
      <c r="T13" s="255"/>
      <c r="U13" s="255"/>
      <c r="V13" s="255"/>
      <c r="W13" s="255"/>
      <c r="X13" s="255"/>
      <c r="Y13" s="255"/>
      <c r="Z13" s="255"/>
      <c r="AA13" s="255"/>
      <c r="AB13" s="255"/>
      <c r="AC13" s="255"/>
      <c r="AD13" s="255"/>
      <c r="AE13" s="257"/>
    </row>
    <row r="14" spans="1:31" ht="5.0999999999999996" customHeight="1" x14ac:dyDescent="0.2">
      <c r="A14" s="7" t="s">
        <v>538</v>
      </c>
    </row>
    <row r="15" spans="1:31" x14ac:dyDescent="0.2">
      <c r="A15" s="7" t="str">
        <f ca="1">IF(AUTOEVENTO="Manual",IF(EVENTOS!$F15&gt;0,"F",""),IF(CRONOPLE!B15&lt;=MAX(CÁLCULO!$M$15:$M$27),"F",""))</f>
        <v>F</v>
      </c>
      <c r="B15" s="258">
        <f ca="1">EVENTOS!$C$15</f>
        <v>0</v>
      </c>
      <c r="C15" s="259" t="str">
        <f ca="1">EVENTOS!$D$15</f>
        <v/>
      </c>
      <c r="D15" s="560"/>
      <c r="E15" s="260"/>
      <c r="F15" t="str">
        <f ca="1">IF($C15="","",CONCATENATE($B15,". ",$C15))</f>
        <v/>
      </c>
      <c r="G15" s="261" t="str">
        <f ca="1">IF(AUTOEVENTO="MANUAL","A administração local será proporcional a execução dos demais eventos, independente de frentes de obra.","Para aplicação de Adm. Local é necessário definir os eventos manualmente.")</f>
        <v>Para aplicação de Adm. Local é necessário definir os eventos manualmente.</v>
      </c>
      <c r="H15" s="260"/>
      <c r="I15" s="260"/>
      <c r="J15" s="260"/>
      <c r="K15" s="260"/>
      <c r="L15" s="260"/>
      <c r="M15" s="260"/>
      <c r="N15" s="260"/>
      <c r="O15" s="260"/>
      <c r="P15" s="260"/>
      <c r="Q15" s="260"/>
      <c r="R15" s="260"/>
      <c r="S15" s="260"/>
      <c r="T15" s="260"/>
      <c r="U15" s="260"/>
      <c r="V15" s="260"/>
      <c r="W15" s="260"/>
      <c r="X15" s="260"/>
      <c r="Y15" s="260"/>
      <c r="Z15" s="260"/>
      <c r="AA15" s="260"/>
      <c r="AB15" s="260"/>
      <c r="AC15" s="260"/>
      <c r="AD15" s="260"/>
      <c r="AE15" s="262"/>
    </row>
    <row r="16" spans="1:31" x14ac:dyDescent="0.2">
      <c r="A16" s="7" t="str">
        <f ca="1">IF(AUTOEVENTO="Manual",IF(EVENTOS!$F16&gt;0,"F",""),IF(CRONOPLE!B16&lt;=MAX(CÁLCULO!$M$15:$M$27),"F",""))</f>
        <v>F</v>
      </c>
      <c r="B16" s="248">
        <f t="shared" ref="B16:B64" ca="1" si="1">OFFSET(B16,-1,0)+1</f>
        <v>1</v>
      </c>
      <c r="C16" s="515" t="str">
        <f ca="1">IF(AUTOEVENTO="Manual",IF($B16&gt;0,OFFSET(EVENTOS!$D$15,$B16-$B$15,0),0),IF(B16&lt;=MAX(CÁLCULO!$M$15:$M$27),VLOOKUP($B16,CÁLCULO!$M$15:$N$27,2,FALSE),0))</f>
        <v>FUNDAÇÕES</v>
      </c>
      <c r="D16" s="560"/>
      <c r="E16" s="249"/>
      <c r="F16" t="str">
        <f t="shared" ref="F16:F64" ca="1" si="2">IF($C16=0,"",CONCATENATE($B16,". ",$C16))</f>
        <v>1. FUNDAÇÕES</v>
      </c>
      <c r="G16" s="559"/>
      <c r="H16" s="559"/>
      <c r="I16" s="559"/>
      <c r="J16" s="559"/>
      <c r="K16" s="559"/>
      <c r="L16" s="559"/>
      <c r="M16" s="559"/>
      <c r="N16" s="559"/>
      <c r="O16" s="559"/>
      <c r="P16" s="559"/>
      <c r="Q16" s="559"/>
      <c r="R16" s="559"/>
      <c r="S16" s="559"/>
      <c r="T16" s="559"/>
      <c r="U16" s="559"/>
      <c r="V16" s="559"/>
      <c r="W16" s="559"/>
      <c r="X16" s="559"/>
      <c r="Y16" s="559"/>
      <c r="Z16" s="559"/>
      <c r="AA16" s="559"/>
      <c r="AB16" s="559"/>
      <c r="AC16" s="559"/>
      <c r="AD16" s="559"/>
      <c r="AE16" s="559"/>
    </row>
    <row r="17" spans="1:31" x14ac:dyDescent="0.2">
      <c r="A17" s="7" t="str">
        <f ca="1">IF(AUTOEVENTO="Manual",IF(EVENTOS!$F17&gt;0,"F",""),IF(CRONOPLE!B17&lt;=MAX(CÁLCULO!$M$15:$M$27),"F",""))</f>
        <v>F</v>
      </c>
      <c r="B17" s="248">
        <f t="shared" ca="1" si="1"/>
        <v>2</v>
      </c>
      <c r="C17" s="515" t="str">
        <f ca="1">IF(AUTOEVENTO="Manual",IF($B17&gt;0,OFFSET(EVENTOS!$D$15,$B17-$B$15,0),0),IF(B17&lt;=MAX(CÁLCULO!$M$15:$M$27),VLOOKUP($B17,CÁLCULO!$M$15:$N$27,2,FALSE),0))</f>
        <v>ESTRUTURAS</v>
      </c>
      <c r="D17" s="560"/>
      <c r="E17" s="249"/>
      <c r="F17" t="str">
        <f t="shared" ca="1" si="2"/>
        <v>2. ESTRUTURAS</v>
      </c>
      <c r="G17" s="559"/>
      <c r="H17" s="559"/>
      <c r="I17" s="559"/>
      <c r="J17" s="559"/>
      <c r="K17" s="559"/>
      <c r="L17" s="559"/>
      <c r="M17" s="559"/>
      <c r="N17" s="559"/>
      <c r="O17" s="559"/>
      <c r="P17" s="559"/>
      <c r="Q17" s="559"/>
      <c r="R17" s="559"/>
      <c r="S17" s="559"/>
      <c r="T17" s="559"/>
      <c r="U17" s="559"/>
      <c r="V17" s="559"/>
      <c r="W17" s="559"/>
      <c r="X17" s="559"/>
      <c r="Y17" s="559"/>
      <c r="Z17" s="559"/>
      <c r="AA17" s="559"/>
      <c r="AB17" s="559"/>
      <c r="AC17" s="559"/>
      <c r="AD17" s="559"/>
      <c r="AE17" s="559"/>
    </row>
    <row r="18" spans="1:31" x14ac:dyDescent="0.2">
      <c r="A18" s="7" t="str">
        <f ca="1">IF(AUTOEVENTO="Manual",IF(EVENTOS!$F18&gt;0,"F",""),IF(CRONOPLE!B18&lt;=MAX(CÁLCULO!$M$15:$M$27),"F",""))</f>
        <v>F</v>
      </c>
      <c r="B18" s="248">
        <f t="shared" ca="1" si="1"/>
        <v>3</v>
      </c>
      <c r="C18" s="515" t="str">
        <f ca="1">IF(AUTOEVENTO="Manual",IF($B18&gt;0,OFFSET(EVENTOS!$D$15,$B18-$B$15,0),0),IF(B18&lt;=MAX(CÁLCULO!$M$15:$M$27),VLOOKUP($B18,CÁLCULO!$M$15:$N$27,2,FALSE),0))</f>
        <v>COBERTURA</v>
      </c>
      <c r="D18" s="560"/>
      <c r="E18" s="249"/>
      <c r="F18" t="str">
        <f t="shared" ca="1" si="2"/>
        <v>3. COBERTURA</v>
      </c>
      <c r="G18" s="559"/>
      <c r="H18" s="559"/>
      <c r="I18" s="559"/>
      <c r="J18" s="559"/>
      <c r="K18" s="559"/>
      <c r="L18" s="559"/>
      <c r="M18" s="559"/>
      <c r="N18" s="559"/>
      <c r="O18" s="559"/>
      <c r="P18" s="559"/>
      <c r="Q18" s="559"/>
      <c r="R18" s="559"/>
      <c r="S18" s="559"/>
      <c r="T18" s="559"/>
      <c r="U18" s="559"/>
      <c r="V18" s="559"/>
      <c r="W18" s="559"/>
      <c r="X18" s="559"/>
      <c r="Y18" s="559"/>
      <c r="Z18" s="559"/>
      <c r="AA18" s="559"/>
      <c r="AB18" s="559"/>
      <c r="AC18" s="559"/>
      <c r="AD18" s="559"/>
      <c r="AE18" s="559"/>
    </row>
    <row r="19" spans="1:31" x14ac:dyDescent="0.2">
      <c r="A19" s="7" t="str">
        <f ca="1">IF(AUTOEVENTO="Manual",IF(EVENTOS!$F19&gt;0,"F",""),IF(CRONOPLE!B19&lt;=MAX(CÁLCULO!$M$15:$M$27),"F",""))</f>
        <v/>
      </c>
      <c r="B19" s="248">
        <f t="shared" ca="1" si="1"/>
        <v>4</v>
      </c>
      <c r="C19" s="515">
        <f ca="1">IF(AUTOEVENTO="Manual",IF($B19&gt;0,OFFSET(EVENTOS!$D$15,$B19-$B$15,0),0),IF(B19&lt;=MAX(CÁLCULO!$M$15:$M$27),VLOOKUP($B19,CÁLCULO!$M$15:$N$27,2,FALSE),0))</f>
        <v>0</v>
      </c>
      <c r="D19" s="560"/>
      <c r="E19" s="249"/>
      <c r="F19" t="str">
        <f t="shared" ca="1" si="2"/>
        <v/>
      </c>
      <c r="G19" s="559"/>
      <c r="H19" s="559"/>
      <c r="I19" s="559"/>
      <c r="J19" s="559"/>
      <c r="K19" s="559"/>
      <c r="L19" s="559"/>
      <c r="M19" s="559"/>
      <c r="N19" s="559"/>
      <c r="O19" s="559"/>
      <c r="P19" s="559"/>
      <c r="Q19" s="559"/>
      <c r="R19" s="559"/>
      <c r="S19" s="559"/>
      <c r="T19" s="559"/>
      <c r="U19" s="559"/>
      <c r="V19" s="559"/>
      <c r="W19" s="559"/>
      <c r="X19" s="559"/>
      <c r="Y19" s="559"/>
      <c r="Z19" s="559"/>
      <c r="AA19" s="559"/>
      <c r="AB19" s="559"/>
      <c r="AC19" s="559"/>
      <c r="AD19" s="559"/>
      <c r="AE19" s="559"/>
    </row>
    <row r="20" spans="1:31" x14ac:dyDescent="0.2">
      <c r="A20" s="7" t="str">
        <f ca="1">IF(AUTOEVENTO="Manual",IF(EVENTOS!$F20&gt;0,"F",""),IF(CRONOPLE!B20&lt;=MAX(CÁLCULO!$M$15:$M$27),"F",""))</f>
        <v/>
      </c>
      <c r="B20" s="248">
        <f t="shared" ca="1" si="1"/>
        <v>5</v>
      </c>
      <c r="C20" s="515">
        <f ca="1">IF(AUTOEVENTO="Manual",IF($B20&gt;0,OFFSET(EVENTOS!$D$15,$B20-$B$15,0),0),IF(B20&lt;=MAX(CÁLCULO!$M$15:$M$27),VLOOKUP($B20,CÁLCULO!$M$15:$N$27,2,FALSE),0))</f>
        <v>0</v>
      </c>
      <c r="D20" s="560"/>
      <c r="E20" s="249"/>
      <c r="F20" t="str">
        <f t="shared" ca="1" si="2"/>
        <v/>
      </c>
      <c r="G20" s="559"/>
      <c r="H20" s="559"/>
      <c r="I20" s="559"/>
      <c r="J20" s="559"/>
      <c r="K20" s="559"/>
      <c r="L20" s="559"/>
      <c r="M20" s="559"/>
      <c r="N20" s="559"/>
      <c r="O20" s="559"/>
      <c r="P20" s="559"/>
      <c r="Q20" s="559"/>
      <c r="R20" s="559"/>
      <c r="S20" s="559"/>
      <c r="T20" s="559"/>
      <c r="U20" s="559"/>
      <c r="V20" s="559"/>
      <c r="W20" s="559"/>
      <c r="X20" s="559"/>
      <c r="Y20" s="559"/>
      <c r="Z20" s="559"/>
      <c r="AA20" s="559"/>
      <c r="AB20" s="559"/>
      <c r="AC20" s="559"/>
      <c r="AD20" s="559"/>
      <c r="AE20" s="559"/>
    </row>
    <row r="21" spans="1:31" x14ac:dyDescent="0.2">
      <c r="A21" s="7" t="str">
        <f ca="1">IF(AUTOEVENTO="Manual",IF(EVENTOS!$F21&gt;0,"F",""),IF(CRONOPLE!B21&lt;=MAX(CÁLCULO!$M$15:$M$27),"F",""))</f>
        <v/>
      </c>
      <c r="B21" s="248">
        <f t="shared" ca="1" si="1"/>
        <v>6</v>
      </c>
      <c r="C21" s="515">
        <f ca="1">IF(AUTOEVENTO="Manual",IF($B21&gt;0,OFFSET(EVENTOS!$D$15,$B21-$B$15,0),0),IF(B21&lt;=MAX(CÁLCULO!$M$15:$M$27),VLOOKUP($B21,CÁLCULO!$M$15:$N$27,2,FALSE),0))</f>
        <v>0</v>
      </c>
      <c r="D21" s="560"/>
      <c r="E21" s="249"/>
      <c r="F21" t="str">
        <f t="shared" ca="1" si="2"/>
        <v/>
      </c>
      <c r="G21" s="559"/>
      <c r="H21" s="559"/>
      <c r="I21" s="559"/>
      <c r="J21" s="559"/>
      <c r="K21" s="559"/>
      <c r="L21" s="559"/>
      <c r="M21" s="559"/>
      <c r="N21" s="559"/>
      <c r="O21" s="559"/>
      <c r="P21" s="559"/>
      <c r="Q21" s="559"/>
      <c r="R21" s="559"/>
      <c r="S21" s="559"/>
      <c r="T21" s="559"/>
      <c r="U21" s="559"/>
      <c r="V21" s="559"/>
      <c r="W21" s="559"/>
      <c r="X21" s="559"/>
      <c r="Y21" s="559"/>
      <c r="Z21" s="559"/>
      <c r="AA21" s="559"/>
      <c r="AB21" s="559"/>
      <c r="AC21" s="559"/>
      <c r="AD21" s="559"/>
      <c r="AE21" s="559"/>
    </row>
    <row r="22" spans="1:31" x14ac:dyDescent="0.2">
      <c r="A22" s="7" t="str">
        <f ca="1">IF(AUTOEVENTO="Manual",IF(EVENTOS!$F22&gt;0,"F",""),IF(CRONOPLE!B22&lt;=MAX(CÁLCULO!$M$15:$M$27),"F",""))</f>
        <v/>
      </c>
      <c r="B22" s="248">
        <f t="shared" ca="1" si="1"/>
        <v>7</v>
      </c>
      <c r="C22" s="515">
        <f ca="1">IF(AUTOEVENTO="Manual",IF($B22&gt;0,OFFSET(EVENTOS!$D$15,$B22-$B$15,0),0),IF(B22&lt;=MAX(CÁLCULO!$M$15:$M$27),VLOOKUP($B22,CÁLCULO!$M$15:$N$27,2,FALSE),0))</f>
        <v>0</v>
      </c>
      <c r="D22" s="560"/>
      <c r="E22" s="249"/>
      <c r="F22" t="str">
        <f t="shared" ca="1" si="2"/>
        <v/>
      </c>
      <c r="G22" s="559"/>
      <c r="H22" s="559"/>
      <c r="I22" s="559"/>
      <c r="J22" s="559"/>
      <c r="K22" s="559"/>
      <c r="L22" s="559"/>
      <c r="M22" s="559"/>
      <c r="N22" s="559"/>
      <c r="O22" s="559"/>
      <c r="P22" s="559"/>
      <c r="Q22" s="559"/>
      <c r="R22" s="559"/>
      <c r="S22" s="559"/>
      <c r="T22" s="559"/>
      <c r="U22" s="559"/>
      <c r="V22" s="559"/>
      <c r="W22" s="559"/>
      <c r="X22" s="559"/>
      <c r="Y22" s="559"/>
      <c r="Z22" s="559"/>
      <c r="AA22" s="559"/>
      <c r="AB22" s="559"/>
      <c r="AC22" s="559"/>
      <c r="AD22" s="559"/>
      <c r="AE22" s="559"/>
    </row>
    <row r="23" spans="1:31" x14ac:dyDescent="0.2">
      <c r="A23" s="7" t="str">
        <f ca="1">IF(AUTOEVENTO="Manual",IF(EVENTOS!$F23&gt;0,"F",""),IF(CRONOPLE!B23&lt;=MAX(CÁLCULO!$M$15:$M$27),"F",""))</f>
        <v/>
      </c>
      <c r="B23" s="248">
        <f t="shared" ca="1" si="1"/>
        <v>8</v>
      </c>
      <c r="C23" s="515">
        <f ca="1">IF(AUTOEVENTO="Manual",IF($B23&gt;0,OFFSET(EVENTOS!$D$15,$B23-$B$15,0),0),IF(B23&lt;=MAX(CÁLCULO!$M$15:$M$27),VLOOKUP($B23,CÁLCULO!$M$15:$N$27,2,FALSE),0))</f>
        <v>0</v>
      </c>
      <c r="D23" s="560"/>
      <c r="E23" s="249"/>
      <c r="F23" t="str">
        <f t="shared" ca="1" si="2"/>
        <v/>
      </c>
      <c r="G23" s="559"/>
      <c r="H23" s="559"/>
      <c r="I23" s="559"/>
      <c r="J23" s="559"/>
      <c r="K23" s="559"/>
      <c r="L23" s="559"/>
      <c r="M23" s="559"/>
      <c r="N23" s="559"/>
      <c r="O23" s="559"/>
      <c r="P23" s="559"/>
      <c r="Q23" s="559"/>
      <c r="R23" s="559"/>
      <c r="S23" s="559"/>
      <c r="T23" s="559"/>
      <c r="U23" s="559"/>
      <c r="V23" s="559"/>
      <c r="W23" s="559"/>
      <c r="X23" s="559"/>
      <c r="Y23" s="559"/>
      <c r="Z23" s="559"/>
      <c r="AA23" s="559"/>
      <c r="AB23" s="559"/>
      <c r="AC23" s="559"/>
      <c r="AD23" s="559"/>
      <c r="AE23" s="559"/>
    </row>
    <row r="24" spans="1:31" x14ac:dyDescent="0.2">
      <c r="A24" s="7" t="str">
        <f ca="1">IF(AUTOEVENTO="Manual",IF(EVENTOS!$F24&gt;0,"F",""),IF(CRONOPLE!B24&lt;=MAX(CÁLCULO!$M$15:$M$27),"F",""))</f>
        <v/>
      </c>
      <c r="B24" s="248">
        <f t="shared" ca="1" si="1"/>
        <v>9</v>
      </c>
      <c r="C24" s="515">
        <f ca="1">IF(AUTOEVENTO="Manual",IF($B24&gt;0,OFFSET(EVENTOS!$D$15,$B24-$B$15,0),0),IF(B24&lt;=MAX(CÁLCULO!$M$15:$M$27),VLOOKUP($B24,CÁLCULO!$M$15:$N$27,2,FALSE),0))</f>
        <v>0</v>
      </c>
      <c r="D24" s="560"/>
      <c r="E24" s="249"/>
      <c r="F24" t="str">
        <f t="shared" ca="1" si="2"/>
        <v/>
      </c>
      <c r="G24" s="559"/>
      <c r="H24" s="559"/>
      <c r="I24" s="559"/>
      <c r="J24" s="559"/>
      <c r="K24" s="559"/>
      <c r="L24" s="559"/>
      <c r="M24" s="559"/>
      <c r="N24" s="559"/>
      <c r="O24" s="559"/>
      <c r="P24" s="559"/>
      <c r="Q24" s="559"/>
      <c r="R24" s="559"/>
      <c r="S24" s="559"/>
      <c r="T24" s="559"/>
      <c r="U24" s="559"/>
      <c r="V24" s="559"/>
      <c r="W24" s="559"/>
      <c r="X24" s="559"/>
      <c r="Y24" s="559"/>
      <c r="Z24" s="559"/>
      <c r="AA24" s="559"/>
      <c r="AB24" s="559"/>
      <c r="AC24" s="559"/>
      <c r="AD24" s="559"/>
      <c r="AE24" s="559"/>
    </row>
    <row r="25" spans="1:31" x14ac:dyDescent="0.2">
      <c r="A25" s="7" t="str">
        <f ca="1">IF(AUTOEVENTO="Manual",IF(EVENTOS!$F25&gt;0,"F",""),IF(CRONOPLE!B25&lt;=MAX(CÁLCULO!$M$15:$M$27),"F",""))</f>
        <v/>
      </c>
      <c r="B25" s="248">
        <f t="shared" ca="1" si="1"/>
        <v>10</v>
      </c>
      <c r="C25" s="515">
        <f ca="1">IF(AUTOEVENTO="Manual",IF($B25&gt;0,OFFSET(EVENTOS!$D$15,$B25-$B$15,0),0),IF(B25&lt;=MAX(CÁLCULO!$M$15:$M$27),VLOOKUP($B25,CÁLCULO!$M$15:$N$27,2,FALSE),0))</f>
        <v>0</v>
      </c>
      <c r="D25" s="560"/>
      <c r="E25" s="249"/>
      <c r="F25" t="str">
        <f t="shared" ca="1" si="2"/>
        <v/>
      </c>
      <c r="G25" s="559"/>
      <c r="H25" s="559"/>
      <c r="I25" s="559"/>
      <c r="J25" s="559"/>
      <c r="K25" s="559"/>
      <c r="L25" s="559"/>
      <c r="M25" s="559"/>
      <c r="N25" s="559"/>
      <c r="O25" s="559"/>
      <c r="P25" s="559"/>
      <c r="Q25" s="559"/>
      <c r="R25" s="559"/>
      <c r="S25" s="559"/>
      <c r="T25" s="559"/>
      <c r="U25" s="559"/>
      <c r="V25" s="559"/>
      <c r="W25" s="559"/>
      <c r="X25" s="559"/>
      <c r="Y25" s="559"/>
      <c r="Z25" s="559"/>
      <c r="AA25" s="559"/>
      <c r="AB25" s="559"/>
      <c r="AC25" s="559"/>
      <c r="AD25" s="559"/>
      <c r="AE25" s="559"/>
    </row>
    <row r="26" spans="1:31" x14ac:dyDescent="0.2">
      <c r="A26" s="7" t="str">
        <f ca="1">IF(AUTOEVENTO="Manual",IF(EVENTOS!$F26&gt;0,"F",""),IF(CRONOPLE!B26&lt;=MAX(CÁLCULO!$M$15:$M$27),"F",""))</f>
        <v/>
      </c>
      <c r="B26" s="248">
        <f t="shared" ca="1" si="1"/>
        <v>11</v>
      </c>
      <c r="C26" s="515">
        <f ca="1">IF(AUTOEVENTO="Manual",IF($B26&gt;0,OFFSET(EVENTOS!$D$15,$B26-$B$15,0),0),IF(B26&lt;=MAX(CÁLCULO!$M$15:$M$27),VLOOKUP($B26,CÁLCULO!$M$15:$N$27,2,FALSE),0))</f>
        <v>0</v>
      </c>
      <c r="D26" s="560"/>
      <c r="E26" s="249"/>
      <c r="F26" t="str">
        <f t="shared" ca="1" si="2"/>
        <v/>
      </c>
      <c r="G26" s="559"/>
      <c r="H26" s="559"/>
      <c r="I26" s="559"/>
      <c r="J26" s="559"/>
      <c r="K26" s="559"/>
      <c r="L26" s="559"/>
      <c r="M26" s="559"/>
      <c r="N26" s="559"/>
      <c r="O26" s="559"/>
      <c r="P26" s="559"/>
      <c r="Q26" s="559"/>
      <c r="R26" s="559"/>
      <c r="S26" s="559"/>
      <c r="T26" s="559"/>
      <c r="U26" s="559"/>
      <c r="V26" s="559"/>
      <c r="W26" s="559"/>
      <c r="X26" s="559"/>
      <c r="Y26" s="559"/>
      <c r="Z26" s="559"/>
      <c r="AA26" s="559"/>
      <c r="AB26" s="559"/>
      <c r="AC26" s="559"/>
      <c r="AD26" s="559"/>
      <c r="AE26" s="559"/>
    </row>
    <row r="27" spans="1:31" x14ac:dyDescent="0.2">
      <c r="A27" s="7" t="str">
        <f ca="1">IF(AUTOEVENTO="Manual",IF(EVENTOS!$F27&gt;0,"F",""),IF(CRONOPLE!B27&lt;=MAX(CÁLCULO!$M$15:$M$27),"F",""))</f>
        <v/>
      </c>
      <c r="B27" s="248">
        <f t="shared" ca="1" si="1"/>
        <v>12</v>
      </c>
      <c r="C27" s="515">
        <f ca="1">IF(AUTOEVENTO="Manual",IF($B27&gt;0,OFFSET(EVENTOS!$D$15,$B27-$B$15,0),0),IF(B27&lt;=MAX(CÁLCULO!$M$15:$M$27),VLOOKUP($B27,CÁLCULO!$M$15:$N$27,2,FALSE),0))</f>
        <v>0</v>
      </c>
      <c r="D27" s="560"/>
      <c r="E27" s="249"/>
      <c r="F27" t="str">
        <f t="shared" ca="1" si="2"/>
        <v/>
      </c>
      <c r="G27" s="559"/>
      <c r="H27" s="559"/>
      <c r="I27" s="559"/>
      <c r="J27" s="559"/>
      <c r="K27" s="559"/>
      <c r="L27" s="559"/>
      <c r="M27" s="559"/>
      <c r="N27" s="559"/>
      <c r="O27" s="559"/>
      <c r="P27" s="559"/>
      <c r="Q27" s="559"/>
      <c r="R27" s="559"/>
      <c r="S27" s="559"/>
      <c r="T27" s="559"/>
      <c r="U27" s="559"/>
      <c r="V27" s="559"/>
      <c r="W27" s="559"/>
      <c r="X27" s="559"/>
      <c r="Y27" s="559"/>
      <c r="Z27" s="559"/>
      <c r="AA27" s="559"/>
      <c r="AB27" s="559"/>
      <c r="AC27" s="559"/>
      <c r="AD27" s="559"/>
      <c r="AE27" s="559"/>
    </row>
    <row r="28" spans="1:31" x14ac:dyDescent="0.2">
      <c r="A28" s="7" t="str">
        <f ca="1">IF(AUTOEVENTO="Manual",IF(EVENTOS!$F28&gt;0,"F",""),IF(CRONOPLE!B28&lt;=MAX(CÁLCULO!$M$15:$M$27),"F",""))</f>
        <v/>
      </c>
      <c r="B28" s="248">
        <f t="shared" ca="1" si="1"/>
        <v>13</v>
      </c>
      <c r="C28" s="515">
        <f ca="1">IF(AUTOEVENTO="Manual",IF($B28&gt;0,OFFSET(EVENTOS!$D$15,$B28-$B$15,0),0),IF(B28&lt;=MAX(CÁLCULO!$M$15:$M$27),VLOOKUP($B28,CÁLCULO!$M$15:$N$27,2,FALSE),0))</f>
        <v>0</v>
      </c>
      <c r="D28" s="560"/>
      <c r="E28" s="249"/>
      <c r="F28" t="str">
        <f t="shared" ca="1" si="2"/>
        <v/>
      </c>
      <c r="G28" s="559"/>
      <c r="H28" s="559"/>
      <c r="I28" s="559"/>
      <c r="J28" s="559"/>
      <c r="K28" s="559"/>
      <c r="L28" s="559"/>
      <c r="M28" s="559"/>
      <c r="N28" s="559"/>
      <c r="O28" s="559"/>
      <c r="P28" s="559"/>
      <c r="Q28" s="559"/>
      <c r="R28" s="559"/>
      <c r="S28" s="559"/>
      <c r="T28" s="559"/>
      <c r="U28" s="559"/>
      <c r="V28" s="559"/>
      <c r="W28" s="559"/>
      <c r="X28" s="559"/>
      <c r="Y28" s="559"/>
      <c r="Z28" s="559"/>
      <c r="AA28" s="559"/>
      <c r="AB28" s="559"/>
      <c r="AC28" s="559"/>
      <c r="AD28" s="559"/>
      <c r="AE28" s="559"/>
    </row>
    <row r="29" spans="1:31" x14ac:dyDescent="0.2">
      <c r="A29" s="7" t="str">
        <f ca="1">IF(AUTOEVENTO="Manual",IF(EVENTOS!$F29&gt;0,"F",""),IF(CRONOPLE!B29&lt;=MAX(CÁLCULO!$M$15:$M$27),"F",""))</f>
        <v/>
      </c>
      <c r="B29" s="248">
        <f t="shared" ca="1" si="1"/>
        <v>14</v>
      </c>
      <c r="C29" s="515">
        <f ca="1">IF(AUTOEVENTO="Manual",IF($B29&gt;0,OFFSET(EVENTOS!$D$15,$B29-$B$15,0),0),IF(B29&lt;=MAX(CÁLCULO!$M$15:$M$27),VLOOKUP($B29,CÁLCULO!$M$15:$N$27,2,FALSE),0))</f>
        <v>0</v>
      </c>
      <c r="D29" s="560"/>
      <c r="E29" s="249"/>
      <c r="F29" t="str">
        <f t="shared" ca="1" si="2"/>
        <v/>
      </c>
      <c r="G29" s="559"/>
      <c r="H29" s="559"/>
      <c r="I29" s="559"/>
      <c r="J29" s="559"/>
      <c r="K29" s="559"/>
      <c r="L29" s="559"/>
      <c r="M29" s="559"/>
      <c r="N29" s="559"/>
      <c r="O29" s="559"/>
      <c r="P29" s="559"/>
      <c r="Q29" s="559"/>
      <c r="R29" s="559"/>
      <c r="S29" s="559"/>
      <c r="T29" s="559"/>
      <c r="U29" s="559"/>
      <c r="V29" s="559"/>
      <c r="W29" s="559"/>
      <c r="X29" s="559"/>
      <c r="Y29" s="559"/>
      <c r="Z29" s="559"/>
      <c r="AA29" s="559"/>
      <c r="AB29" s="559"/>
      <c r="AC29" s="559"/>
      <c r="AD29" s="559"/>
      <c r="AE29" s="559"/>
    </row>
    <row r="30" spans="1:31" x14ac:dyDescent="0.2">
      <c r="A30" s="7" t="str">
        <f ca="1">IF(AUTOEVENTO="Manual",IF(EVENTOS!$F30&gt;0,"F",""),IF(CRONOPLE!B30&lt;=MAX(CÁLCULO!$M$15:$M$27),"F",""))</f>
        <v/>
      </c>
      <c r="B30" s="248">
        <f t="shared" ca="1" si="1"/>
        <v>15</v>
      </c>
      <c r="C30" s="515">
        <f ca="1">IF(AUTOEVENTO="Manual",IF($B30&gt;0,OFFSET(EVENTOS!$D$15,$B30-$B$15,0),0),IF(B30&lt;=MAX(CÁLCULO!$M$15:$M$27),VLOOKUP($B30,CÁLCULO!$M$15:$N$27,2,FALSE),0))</f>
        <v>0</v>
      </c>
      <c r="D30" s="560"/>
      <c r="E30" s="249"/>
      <c r="F30" t="str">
        <f t="shared" ca="1" si="2"/>
        <v/>
      </c>
      <c r="G30" s="559"/>
      <c r="H30" s="559"/>
      <c r="I30" s="559"/>
      <c r="J30" s="559"/>
      <c r="K30" s="559"/>
      <c r="L30" s="559"/>
      <c r="M30" s="559"/>
      <c r="N30" s="559"/>
      <c r="O30" s="559"/>
      <c r="P30" s="559"/>
      <c r="Q30" s="559"/>
      <c r="R30" s="559"/>
      <c r="S30" s="559"/>
      <c r="T30" s="559"/>
      <c r="U30" s="559"/>
      <c r="V30" s="559"/>
      <c r="W30" s="559"/>
      <c r="X30" s="559"/>
      <c r="Y30" s="559"/>
      <c r="Z30" s="559"/>
      <c r="AA30" s="559"/>
      <c r="AB30" s="559"/>
      <c r="AC30" s="559"/>
      <c r="AD30" s="559"/>
      <c r="AE30" s="559"/>
    </row>
    <row r="31" spans="1:31" x14ac:dyDescent="0.2">
      <c r="A31" s="7" t="str">
        <f ca="1">IF(AUTOEVENTO="Manual",IF(EVENTOS!$F31&gt;0,"F",""),IF(CRONOPLE!B31&lt;=MAX(CÁLCULO!$M$15:$M$27),"F",""))</f>
        <v/>
      </c>
      <c r="B31" s="248">
        <f t="shared" ca="1" si="1"/>
        <v>16</v>
      </c>
      <c r="C31" s="515">
        <f ca="1">IF(AUTOEVENTO="Manual",IF($B31&gt;0,OFFSET(EVENTOS!$D$15,$B31-$B$15,0),0),IF(B31&lt;=MAX(CÁLCULO!$M$15:$M$27),VLOOKUP($B31,CÁLCULO!$M$15:$N$27,2,FALSE),0))</f>
        <v>0</v>
      </c>
      <c r="D31" s="560"/>
      <c r="E31" s="249"/>
      <c r="F31" t="str">
        <f t="shared" ca="1" si="2"/>
        <v/>
      </c>
      <c r="G31" s="559"/>
      <c r="H31" s="559"/>
      <c r="I31" s="559"/>
      <c r="J31" s="559"/>
      <c r="K31" s="559"/>
      <c r="L31" s="559"/>
      <c r="M31" s="559"/>
      <c r="N31" s="559"/>
      <c r="O31" s="559"/>
      <c r="P31" s="559"/>
      <c r="Q31" s="559"/>
      <c r="R31" s="559"/>
      <c r="S31" s="559"/>
      <c r="T31" s="559"/>
      <c r="U31" s="559"/>
      <c r="V31" s="559"/>
      <c r="W31" s="559"/>
      <c r="X31" s="559"/>
      <c r="Y31" s="559"/>
      <c r="Z31" s="559"/>
      <c r="AA31" s="559"/>
      <c r="AB31" s="559"/>
      <c r="AC31" s="559"/>
      <c r="AD31" s="559"/>
      <c r="AE31" s="559"/>
    </row>
    <row r="32" spans="1:31" x14ac:dyDescent="0.2">
      <c r="A32" s="7" t="str">
        <f ca="1">IF(AUTOEVENTO="Manual",IF(EVENTOS!$F32&gt;0,"F",""),IF(CRONOPLE!B32&lt;=MAX(CÁLCULO!$M$15:$M$27),"F",""))</f>
        <v/>
      </c>
      <c r="B32" s="248">
        <f t="shared" ca="1" si="1"/>
        <v>17</v>
      </c>
      <c r="C32" s="515">
        <f ca="1">IF(AUTOEVENTO="Manual",IF($B32&gt;0,OFFSET(EVENTOS!$D$15,$B32-$B$15,0),0),IF(B32&lt;=MAX(CÁLCULO!$M$15:$M$27),VLOOKUP($B32,CÁLCULO!$M$15:$N$27,2,FALSE),0))</f>
        <v>0</v>
      </c>
      <c r="D32" s="560"/>
      <c r="E32" s="249"/>
      <c r="F32" t="str">
        <f t="shared" ca="1" si="2"/>
        <v/>
      </c>
      <c r="G32" s="559"/>
      <c r="H32" s="559"/>
      <c r="I32" s="559"/>
      <c r="J32" s="559"/>
      <c r="K32" s="559"/>
      <c r="L32" s="559"/>
      <c r="M32" s="559"/>
      <c r="N32" s="559"/>
      <c r="O32" s="559"/>
      <c r="P32" s="559"/>
      <c r="Q32" s="559"/>
      <c r="R32" s="559"/>
      <c r="S32" s="559"/>
      <c r="T32" s="559"/>
      <c r="U32" s="559"/>
      <c r="V32" s="559"/>
      <c r="W32" s="559"/>
      <c r="X32" s="559"/>
      <c r="Y32" s="559"/>
      <c r="Z32" s="559"/>
      <c r="AA32" s="559"/>
      <c r="AB32" s="559"/>
      <c r="AC32" s="559"/>
      <c r="AD32" s="559"/>
      <c r="AE32" s="559"/>
    </row>
    <row r="33" spans="1:31" x14ac:dyDescent="0.2">
      <c r="A33" s="7" t="str">
        <f ca="1">IF(AUTOEVENTO="Manual",IF(EVENTOS!$F33&gt;0,"F",""),IF(CRONOPLE!B33&lt;=MAX(CÁLCULO!$M$15:$M$27),"F",""))</f>
        <v/>
      </c>
      <c r="B33" s="248">
        <f t="shared" ca="1" si="1"/>
        <v>18</v>
      </c>
      <c r="C33" s="515">
        <f ca="1">IF(AUTOEVENTO="Manual",IF($B33&gt;0,OFFSET(EVENTOS!$D$15,$B33-$B$15,0),0),IF(B33&lt;=MAX(CÁLCULO!$M$15:$M$27),VLOOKUP($B33,CÁLCULO!$M$15:$N$27,2,FALSE),0))</f>
        <v>0</v>
      </c>
      <c r="D33" s="560"/>
      <c r="E33" s="249"/>
      <c r="F33" t="str">
        <f t="shared" ca="1" si="2"/>
        <v/>
      </c>
      <c r="G33" s="559"/>
      <c r="H33" s="559"/>
      <c r="I33" s="559"/>
      <c r="J33" s="559"/>
      <c r="K33" s="559"/>
      <c r="L33" s="559"/>
      <c r="M33" s="559"/>
      <c r="N33" s="559"/>
      <c r="O33" s="559"/>
      <c r="P33" s="559"/>
      <c r="Q33" s="559"/>
      <c r="R33" s="559"/>
      <c r="S33" s="559"/>
      <c r="T33" s="559"/>
      <c r="U33" s="559"/>
      <c r="V33" s="559"/>
      <c r="W33" s="559"/>
      <c r="X33" s="559"/>
      <c r="Y33" s="559"/>
      <c r="Z33" s="559"/>
      <c r="AA33" s="559"/>
      <c r="AB33" s="559"/>
      <c r="AC33" s="559"/>
      <c r="AD33" s="559"/>
      <c r="AE33" s="559"/>
    </row>
    <row r="34" spans="1:31" x14ac:dyDescent="0.2">
      <c r="A34" s="7" t="str">
        <f ca="1">IF(AUTOEVENTO="Manual",IF(EVENTOS!$F34&gt;0,"F",""),IF(CRONOPLE!B34&lt;=MAX(CÁLCULO!$M$15:$M$27),"F",""))</f>
        <v/>
      </c>
      <c r="B34" s="248">
        <f t="shared" ca="1" si="1"/>
        <v>19</v>
      </c>
      <c r="C34" s="515">
        <f ca="1">IF(AUTOEVENTO="Manual",IF($B34&gt;0,OFFSET(EVENTOS!$D$15,$B34-$B$15,0),0),IF(B34&lt;=MAX(CÁLCULO!$M$15:$M$27),VLOOKUP($B34,CÁLCULO!$M$15:$N$27,2,FALSE),0))</f>
        <v>0</v>
      </c>
      <c r="D34" s="560"/>
      <c r="E34" s="249"/>
      <c r="F34" t="str">
        <f t="shared" ca="1" si="2"/>
        <v/>
      </c>
      <c r="G34" s="559"/>
      <c r="H34" s="559"/>
      <c r="I34" s="559"/>
      <c r="J34" s="559"/>
      <c r="K34" s="559"/>
      <c r="L34" s="559"/>
      <c r="M34" s="559"/>
      <c r="N34" s="559"/>
      <c r="O34" s="559"/>
      <c r="P34" s="559"/>
      <c r="Q34" s="559"/>
      <c r="R34" s="559"/>
      <c r="S34" s="559"/>
      <c r="T34" s="559"/>
      <c r="U34" s="559"/>
      <c r="V34" s="559"/>
      <c r="W34" s="559"/>
      <c r="X34" s="559"/>
      <c r="Y34" s="559"/>
      <c r="Z34" s="559"/>
      <c r="AA34" s="559"/>
      <c r="AB34" s="559"/>
      <c r="AC34" s="559"/>
      <c r="AD34" s="559"/>
      <c r="AE34" s="559"/>
    </row>
    <row r="35" spans="1:31" x14ac:dyDescent="0.2">
      <c r="A35" s="7" t="str">
        <f ca="1">IF(AUTOEVENTO="Manual",IF(EVENTOS!$F35&gt;0,"F",""),IF(CRONOPLE!B35&lt;=MAX(CÁLCULO!$M$15:$M$27),"F",""))</f>
        <v/>
      </c>
      <c r="B35" s="248">
        <f t="shared" ca="1" si="1"/>
        <v>20</v>
      </c>
      <c r="C35" s="515">
        <f ca="1">IF(AUTOEVENTO="Manual",IF($B35&gt;0,OFFSET(EVENTOS!$D$15,$B35-$B$15,0),0),IF(B35&lt;=MAX(CÁLCULO!$M$15:$M$27),VLOOKUP($B35,CÁLCULO!$M$15:$N$27,2,FALSE),0))</f>
        <v>0</v>
      </c>
      <c r="D35" s="560"/>
      <c r="E35" s="249"/>
      <c r="F35" t="str">
        <f t="shared" ca="1" si="2"/>
        <v/>
      </c>
      <c r="G35" s="559"/>
      <c r="H35" s="559"/>
      <c r="I35" s="559"/>
      <c r="J35" s="559"/>
      <c r="K35" s="559"/>
      <c r="L35" s="559"/>
      <c r="M35" s="559"/>
      <c r="N35" s="559"/>
      <c r="O35" s="559"/>
      <c r="P35" s="559"/>
      <c r="Q35" s="559"/>
      <c r="R35" s="559"/>
      <c r="S35" s="559"/>
      <c r="T35" s="559"/>
      <c r="U35" s="559"/>
      <c r="V35" s="559"/>
      <c r="W35" s="559"/>
      <c r="X35" s="559"/>
      <c r="Y35" s="559"/>
      <c r="Z35" s="559"/>
      <c r="AA35" s="559"/>
      <c r="AB35" s="559"/>
      <c r="AC35" s="559"/>
      <c r="AD35" s="559"/>
      <c r="AE35" s="559"/>
    </row>
    <row r="36" spans="1:31" x14ac:dyDescent="0.2">
      <c r="A36" s="7" t="str">
        <f ca="1">IF(AUTOEVENTO="Manual",IF(EVENTOS!$F36&gt;0,"F",""),IF(CRONOPLE!B36&lt;=MAX(CÁLCULO!$M$15:$M$27),"F",""))</f>
        <v/>
      </c>
      <c r="B36" s="248">
        <f t="shared" ca="1" si="1"/>
        <v>21</v>
      </c>
      <c r="C36" s="515">
        <f ca="1">IF(AUTOEVENTO="Manual",IF($B36&gt;0,OFFSET(EVENTOS!$D$15,$B36-$B$15,0),0),IF(B36&lt;=MAX(CÁLCULO!$M$15:$M$27),VLOOKUP($B36,CÁLCULO!$M$15:$N$27,2,FALSE),0))</f>
        <v>0</v>
      </c>
      <c r="D36" s="560"/>
      <c r="E36" s="249"/>
      <c r="F36" t="str">
        <f t="shared" ca="1" si="2"/>
        <v/>
      </c>
      <c r="G36" s="559"/>
      <c r="H36" s="559"/>
      <c r="I36" s="559"/>
      <c r="J36" s="559"/>
      <c r="K36" s="559"/>
      <c r="L36" s="559"/>
      <c r="M36" s="559"/>
      <c r="N36" s="559"/>
      <c r="O36" s="559"/>
      <c r="P36" s="559"/>
      <c r="Q36" s="559"/>
      <c r="R36" s="559"/>
      <c r="S36" s="559"/>
      <c r="T36" s="559"/>
      <c r="U36" s="559"/>
      <c r="V36" s="559"/>
      <c r="W36" s="559"/>
      <c r="X36" s="559"/>
      <c r="Y36" s="559"/>
      <c r="Z36" s="559"/>
      <c r="AA36" s="559"/>
      <c r="AB36" s="559"/>
      <c r="AC36" s="559"/>
      <c r="AD36" s="559"/>
      <c r="AE36" s="559"/>
    </row>
    <row r="37" spans="1:31" x14ac:dyDescent="0.2">
      <c r="A37" s="7" t="str">
        <f ca="1">IF(AUTOEVENTO="Manual",IF(EVENTOS!$F37&gt;0,"F",""),IF(CRONOPLE!B37&lt;=MAX(CÁLCULO!$M$15:$M$27),"F",""))</f>
        <v/>
      </c>
      <c r="B37" s="248">
        <f t="shared" ca="1" si="1"/>
        <v>22</v>
      </c>
      <c r="C37" s="515">
        <f ca="1">IF(AUTOEVENTO="Manual",IF($B37&gt;0,OFFSET(EVENTOS!$D$15,$B37-$B$15,0),0),IF(B37&lt;=MAX(CÁLCULO!$M$15:$M$27),VLOOKUP($B37,CÁLCULO!$M$15:$N$27,2,FALSE),0))</f>
        <v>0</v>
      </c>
      <c r="D37" s="560"/>
      <c r="E37" s="249"/>
      <c r="F37" t="str">
        <f t="shared" ca="1" si="2"/>
        <v/>
      </c>
      <c r="G37" s="559"/>
      <c r="H37" s="559"/>
      <c r="I37" s="559"/>
      <c r="J37" s="559"/>
      <c r="K37" s="559"/>
      <c r="L37" s="559"/>
      <c r="M37" s="559"/>
      <c r="N37" s="559"/>
      <c r="O37" s="559"/>
      <c r="P37" s="559"/>
      <c r="Q37" s="559"/>
      <c r="R37" s="559"/>
      <c r="S37" s="559"/>
      <c r="T37" s="559"/>
      <c r="U37" s="559"/>
      <c r="V37" s="559"/>
      <c r="W37" s="559"/>
      <c r="X37" s="559"/>
      <c r="Y37" s="559"/>
      <c r="Z37" s="559"/>
      <c r="AA37" s="559"/>
      <c r="AB37" s="559"/>
      <c r="AC37" s="559"/>
      <c r="AD37" s="559"/>
      <c r="AE37" s="559"/>
    </row>
    <row r="38" spans="1:31" x14ac:dyDescent="0.2">
      <c r="A38" s="7" t="str">
        <f ca="1">IF(AUTOEVENTO="Manual",IF(EVENTOS!$F38&gt;0,"F",""),IF(CRONOPLE!B38&lt;=MAX(CÁLCULO!$M$15:$M$27),"F",""))</f>
        <v/>
      </c>
      <c r="B38" s="248">
        <f t="shared" ca="1" si="1"/>
        <v>23</v>
      </c>
      <c r="C38" s="515">
        <f ca="1">IF(AUTOEVENTO="Manual",IF($B38&gt;0,OFFSET(EVENTOS!$D$15,$B38-$B$15,0),0),IF(B38&lt;=MAX(CÁLCULO!$M$15:$M$27),VLOOKUP($B38,CÁLCULO!$M$15:$N$27,2,FALSE),0))</f>
        <v>0</v>
      </c>
      <c r="D38" s="560"/>
      <c r="E38" s="249"/>
      <c r="F38" t="str">
        <f t="shared" ca="1" si="2"/>
        <v/>
      </c>
      <c r="G38" s="559"/>
      <c r="H38" s="559"/>
      <c r="I38" s="559"/>
      <c r="J38" s="559"/>
      <c r="K38" s="559"/>
      <c r="L38" s="559"/>
      <c r="M38" s="559"/>
      <c r="N38" s="559"/>
      <c r="O38" s="559"/>
      <c r="P38" s="559"/>
      <c r="Q38" s="559"/>
      <c r="R38" s="559"/>
      <c r="S38" s="559"/>
      <c r="T38" s="559"/>
      <c r="U38" s="559"/>
      <c r="V38" s="559"/>
      <c r="W38" s="559"/>
      <c r="X38" s="559"/>
      <c r="Y38" s="559"/>
      <c r="Z38" s="559"/>
      <c r="AA38" s="559"/>
      <c r="AB38" s="559"/>
      <c r="AC38" s="559"/>
      <c r="AD38" s="559"/>
      <c r="AE38" s="559"/>
    </row>
    <row r="39" spans="1:31" x14ac:dyDescent="0.2">
      <c r="A39" s="7" t="str">
        <f ca="1">IF(AUTOEVENTO="Manual",IF(EVENTOS!$F39&gt;0,"F",""),IF(CRONOPLE!B39&lt;=MAX(CÁLCULO!$M$15:$M$27),"F",""))</f>
        <v/>
      </c>
      <c r="B39" s="248">
        <f t="shared" ca="1" si="1"/>
        <v>24</v>
      </c>
      <c r="C39" s="515">
        <f ca="1">IF(AUTOEVENTO="Manual",IF($B39&gt;0,OFFSET(EVENTOS!$D$15,$B39-$B$15,0),0),IF(B39&lt;=MAX(CÁLCULO!$M$15:$M$27),VLOOKUP($B39,CÁLCULO!$M$15:$N$27,2,FALSE),0))</f>
        <v>0</v>
      </c>
      <c r="D39" s="560"/>
      <c r="E39" s="249"/>
      <c r="F39" t="str">
        <f t="shared" ca="1" si="2"/>
        <v/>
      </c>
      <c r="G39" s="559"/>
      <c r="H39" s="559"/>
      <c r="I39" s="559"/>
      <c r="J39" s="559"/>
      <c r="K39" s="559"/>
      <c r="L39" s="559"/>
      <c r="M39" s="559"/>
      <c r="N39" s="559"/>
      <c r="O39" s="559"/>
      <c r="P39" s="559"/>
      <c r="Q39" s="559"/>
      <c r="R39" s="559"/>
      <c r="S39" s="559"/>
      <c r="T39" s="559"/>
      <c r="U39" s="559"/>
      <c r="V39" s="559"/>
      <c r="W39" s="559"/>
      <c r="X39" s="559"/>
      <c r="Y39" s="559"/>
      <c r="Z39" s="559"/>
      <c r="AA39" s="559"/>
      <c r="AB39" s="559"/>
      <c r="AC39" s="559"/>
      <c r="AD39" s="559"/>
      <c r="AE39" s="559"/>
    </row>
    <row r="40" spans="1:31" x14ac:dyDescent="0.2">
      <c r="A40" s="7" t="str">
        <f ca="1">IF(AUTOEVENTO="Manual",IF(EVENTOS!$F40&gt;0,"F",""),IF(CRONOPLE!B40&lt;=MAX(CÁLCULO!$M$15:$M$27),"F",""))</f>
        <v/>
      </c>
      <c r="B40" s="248">
        <f t="shared" ca="1" si="1"/>
        <v>25</v>
      </c>
      <c r="C40" s="515">
        <f ca="1">IF(AUTOEVENTO="Manual",IF($B40&gt;0,OFFSET(EVENTOS!$D$15,$B40-$B$15,0),0),IF(B40&lt;=MAX(CÁLCULO!$M$15:$M$27),VLOOKUP($B40,CÁLCULO!$M$15:$N$27,2,FALSE),0))</f>
        <v>0</v>
      </c>
      <c r="D40" s="560"/>
      <c r="E40" s="249"/>
      <c r="F40" t="str">
        <f t="shared" ca="1" si="2"/>
        <v/>
      </c>
      <c r="G40" s="559"/>
      <c r="H40" s="559"/>
      <c r="I40" s="559"/>
      <c r="J40" s="559"/>
      <c r="K40" s="559"/>
      <c r="L40" s="559"/>
      <c r="M40" s="559"/>
      <c r="N40" s="559"/>
      <c r="O40" s="559"/>
      <c r="P40" s="559"/>
      <c r="Q40" s="559"/>
      <c r="R40" s="559"/>
      <c r="S40" s="559"/>
      <c r="T40" s="559"/>
      <c r="U40" s="559"/>
      <c r="V40" s="559"/>
      <c r="W40" s="559"/>
      <c r="X40" s="559"/>
      <c r="Y40" s="559"/>
      <c r="Z40" s="559"/>
      <c r="AA40" s="559"/>
      <c r="AB40" s="559"/>
      <c r="AC40" s="559"/>
      <c r="AD40" s="559"/>
      <c r="AE40" s="559"/>
    </row>
    <row r="41" spans="1:31" x14ac:dyDescent="0.2">
      <c r="A41" s="7" t="str">
        <f ca="1">IF(AUTOEVENTO="Manual",IF(EVENTOS!$F41&gt;0,"F",""),IF(CRONOPLE!B41&lt;=MAX(CÁLCULO!$M$15:$M$27),"F",""))</f>
        <v/>
      </c>
      <c r="B41" s="248">
        <f t="shared" ca="1" si="1"/>
        <v>26</v>
      </c>
      <c r="C41" s="515">
        <f ca="1">IF(AUTOEVENTO="Manual",IF($B41&gt;0,OFFSET(EVENTOS!$D$15,$B41-$B$15,0),0),IF(B41&lt;=MAX(CÁLCULO!$M$15:$M$27),VLOOKUP($B41,CÁLCULO!$M$15:$N$27,2,FALSE),0))</f>
        <v>0</v>
      </c>
      <c r="D41" s="560"/>
      <c r="E41" s="249"/>
      <c r="F41" t="str">
        <f t="shared" ca="1" si="2"/>
        <v/>
      </c>
      <c r="G41" s="559"/>
      <c r="H41" s="559"/>
      <c r="I41" s="559"/>
      <c r="J41" s="559"/>
      <c r="K41" s="559"/>
      <c r="L41" s="559"/>
      <c r="M41" s="559"/>
      <c r="N41" s="559"/>
      <c r="O41" s="559"/>
      <c r="P41" s="559"/>
      <c r="Q41" s="559"/>
      <c r="R41" s="559"/>
      <c r="S41" s="559"/>
      <c r="T41" s="559"/>
      <c r="U41" s="559"/>
      <c r="V41" s="559"/>
      <c r="W41" s="559"/>
      <c r="X41" s="559"/>
      <c r="Y41" s="559"/>
      <c r="Z41" s="559"/>
      <c r="AA41" s="559"/>
      <c r="AB41" s="559"/>
      <c r="AC41" s="559"/>
      <c r="AD41" s="559"/>
      <c r="AE41" s="559"/>
    </row>
    <row r="42" spans="1:31" x14ac:dyDescent="0.2">
      <c r="A42" s="7" t="str">
        <f ca="1">IF(AUTOEVENTO="Manual",IF(EVENTOS!$F42&gt;0,"F",""),IF(CRONOPLE!B42&lt;=MAX(CÁLCULO!$M$15:$M$27),"F",""))</f>
        <v/>
      </c>
      <c r="B42" s="248">
        <f t="shared" ca="1" si="1"/>
        <v>27</v>
      </c>
      <c r="C42" s="515">
        <f ca="1">IF(AUTOEVENTO="Manual",IF($B42&gt;0,OFFSET(EVENTOS!$D$15,$B42-$B$15,0),0),IF(B42&lt;=MAX(CÁLCULO!$M$15:$M$27),VLOOKUP($B42,CÁLCULO!$M$15:$N$27,2,FALSE),0))</f>
        <v>0</v>
      </c>
      <c r="D42" s="560"/>
      <c r="E42" s="249"/>
      <c r="F42" t="str">
        <f t="shared" ca="1" si="2"/>
        <v/>
      </c>
      <c r="G42" s="559"/>
      <c r="H42" s="559"/>
      <c r="I42" s="559"/>
      <c r="J42" s="559"/>
      <c r="K42" s="559"/>
      <c r="L42" s="559"/>
      <c r="M42" s="559"/>
      <c r="N42" s="559"/>
      <c r="O42" s="559"/>
      <c r="P42" s="559"/>
      <c r="Q42" s="559"/>
      <c r="R42" s="559"/>
      <c r="S42" s="559"/>
      <c r="T42" s="559"/>
      <c r="U42" s="559"/>
      <c r="V42" s="559"/>
      <c r="W42" s="559"/>
      <c r="X42" s="559"/>
      <c r="Y42" s="559"/>
      <c r="Z42" s="559"/>
      <c r="AA42" s="559"/>
      <c r="AB42" s="559"/>
      <c r="AC42" s="559"/>
      <c r="AD42" s="559"/>
      <c r="AE42" s="559"/>
    </row>
    <row r="43" spans="1:31" x14ac:dyDescent="0.2">
      <c r="A43" s="7" t="str">
        <f ca="1">IF(AUTOEVENTO="Manual",IF(EVENTOS!$F43&gt;0,"F",""),IF(CRONOPLE!B43&lt;=MAX(CÁLCULO!$M$15:$M$27),"F",""))</f>
        <v/>
      </c>
      <c r="B43" s="248">
        <f t="shared" ca="1" si="1"/>
        <v>28</v>
      </c>
      <c r="C43" s="515">
        <f ca="1">IF(AUTOEVENTO="Manual",IF($B43&gt;0,OFFSET(EVENTOS!$D$15,$B43-$B$15,0),0),IF(B43&lt;=MAX(CÁLCULO!$M$15:$M$27),VLOOKUP($B43,CÁLCULO!$M$15:$N$27,2,FALSE),0))</f>
        <v>0</v>
      </c>
      <c r="D43" s="560"/>
      <c r="E43" s="249"/>
      <c r="F43" t="str">
        <f t="shared" ca="1" si="2"/>
        <v/>
      </c>
      <c r="G43" s="559"/>
      <c r="H43" s="559"/>
      <c r="I43" s="559"/>
      <c r="J43" s="559"/>
      <c r="K43" s="559"/>
      <c r="L43" s="559"/>
      <c r="M43" s="559"/>
      <c r="N43" s="559"/>
      <c r="O43" s="559"/>
      <c r="P43" s="559"/>
      <c r="Q43" s="559"/>
      <c r="R43" s="559"/>
      <c r="S43" s="559"/>
      <c r="T43" s="559"/>
      <c r="U43" s="559"/>
      <c r="V43" s="559"/>
      <c r="W43" s="559"/>
      <c r="X43" s="559"/>
      <c r="Y43" s="559"/>
      <c r="Z43" s="559"/>
      <c r="AA43" s="559"/>
      <c r="AB43" s="559"/>
      <c r="AC43" s="559"/>
      <c r="AD43" s="559"/>
      <c r="AE43" s="559"/>
    </row>
    <row r="44" spans="1:31" x14ac:dyDescent="0.2">
      <c r="A44" s="7" t="str">
        <f ca="1">IF(AUTOEVENTO="Manual",IF(EVENTOS!$F44&gt;0,"F",""),IF(CRONOPLE!B44&lt;=MAX(CÁLCULO!$M$15:$M$27),"F",""))</f>
        <v/>
      </c>
      <c r="B44" s="248">
        <f t="shared" ca="1" si="1"/>
        <v>29</v>
      </c>
      <c r="C44" s="515">
        <f ca="1">IF(AUTOEVENTO="Manual",IF($B44&gt;0,OFFSET(EVENTOS!$D$15,$B44-$B$15,0),0),IF(B44&lt;=MAX(CÁLCULO!$M$15:$M$27),VLOOKUP($B44,CÁLCULO!$M$15:$N$27,2,FALSE),0))</f>
        <v>0</v>
      </c>
      <c r="D44" s="560"/>
      <c r="E44" s="249"/>
      <c r="F44" t="str">
        <f t="shared" ca="1" si="2"/>
        <v/>
      </c>
      <c r="G44" s="559"/>
      <c r="H44" s="559"/>
      <c r="I44" s="559"/>
      <c r="J44" s="559"/>
      <c r="K44" s="559"/>
      <c r="L44" s="559"/>
      <c r="M44" s="559"/>
      <c r="N44" s="559"/>
      <c r="O44" s="559"/>
      <c r="P44" s="559"/>
      <c r="Q44" s="559"/>
      <c r="R44" s="559"/>
      <c r="S44" s="559"/>
      <c r="T44" s="559"/>
      <c r="U44" s="559"/>
      <c r="V44" s="559"/>
      <c r="W44" s="559"/>
      <c r="X44" s="559"/>
      <c r="Y44" s="559"/>
      <c r="Z44" s="559"/>
      <c r="AA44" s="559"/>
      <c r="AB44" s="559"/>
      <c r="AC44" s="559"/>
      <c r="AD44" s="559"/>
      <c r="AE44" s="559"/>
    </row>
    <row r="45" spans="1:31" x14ac:dyDescent="0.2">
      <c r="A45" s="7" t="str">
        <f ca="1">IF(AUTOEVENTO="Manual",IF(EVENTOS!$F45&gt;0,"F",""),IF(CRONOPLE!B45&lt;=MAX(CÁLCULO!$M$15:$M$27),"F",""))</f>
        <v/>
      </c>
      <c r="B45" s="248">
        <f t="shared" ca="1" si="1"/>
        <v>30</v>
      </c>
      <c r="C45" s="515">
        <f ca="1">IF(AUTOEVENTO="Manual",IF($B45&gt;0,OFFSET(EVENTOS!$D$15,$B45-$B$15,0),0),IF(B45&lt;=MAX(CÁLCULO!$M$15:$M$27),VLOOKUP($B45,CÁLCULO!$M$15:$N$27,2,FALSE),0))</f>
        <v>0</v>
      </c>
      <c r="D45" s="560"/>
      <c r="E45" s="249"/>
      <c r="F45" t="str">
        <f t="shared" ca="1" si="2"/>
        <v/>
      </c>
      <c r="G45" s="559"/>
      <c r="H45" s="559"/>
      <c r="I45" s="559"/>
      <c r="J45" s="559"/>
      <c r="K45" s="559"/>
      <c r="L45" s="559"/>
      <c r="M45" s="559"/>
      <c r="N45" s="559"/>
      <c r="O45" s="559"/>
      <c r="P45" s="559"/>
      <c r="Q45" s="559"/>
      <c r="R45" s="559"/>
      <c r="S45" s="559"/>
      <c r="T45" s="559"/>
      <c r="U45" s="559"/>
      <c r="V45" s="559"/>
      <c r="W45" s="559"/>
      <c r="X45" s="559"/>
      <c r="Y45" s="559"/>
      <c r="Z45" s="559"/>
      <c r="AA45" s="559"/>
      <c r="AB45" s="559"/>
      <c r="AC45" s="559"/>
      <c r="AD45" s="559"/>
      <c r="AE45" s="559"/>
    </row>
    <row r="46" spans="1:31" x14ac:dyDescent="0.2">
      <c r="A46" s="7" t="str">
        <f ca="1">IF(AUTOEVENTO="Manual",IF(EVENTOS!$F46&gt;0,"F",""),IF(CRONOPLE!B46&lt;=MAX(CÁLCULO!$M$15:$M$27),"F",""))</f>
        <v/>
      </c>
      <c r="B46" s="248">
        <f t="shared" ca="1" si="1"/>
        <v>31</v>
      </c>
      <c r="C46" s="515">
        <f ca="1">IF(AUTOEVENTO="Manual",IF($B46&gt;0,OFFSET(EVENTOS!$D$15,$B46-$B$15,0),0),IF(B46&lt;=MAX(CÁLCULO!$M$15:$M$27),VLOOKUP($B46,CÁLCULO!$M$15:$N$27,2,FALSE),0))</f>
        <v>0</v>
      </c>
      <c r="D46" s="560"/>
      <c r="E46" s="249"/>
      <c r="F46" t="str">
        <f t="shared" ca="1" si="2"/>
        <v/>
      </c>
      <c r="G46" s="559"/>
      <c r="H46" s="559"/>
      <c r="I46" s="559"/>
      <c r="J46" s="559"/>
      <c r="K46" s="559"/>
      <c r="L46" s="559"/>
      <c r="M46" s="559"/>
      <c r="N46" s="559"/>
      <c r="O46" s="559"/>
      <c r="P46" s="559"/>
      <c r="Q46" s="559"/>
      <c r="R46" s="559"/>
      <c r="S46" s="559"/>
      <c r="T46" s="559"/>
      <c r="U46" s="559"/>
      <c r="V46" s="559"/>
      <c r="W46" s="559"/>
      <c r="X46" s="559"/>
      <c r="Y46" s="559"/>
      <c r="Z46" s="559"/>
      <c r="AA46" s="559"/>
      <c r="AB46" s="559"/>
      <c r="AC46" s="559"/>
      <c r="AD46" s="559"/>
      <c r="AE46" s="559"/>
    </row>
    <row r="47" spans="1:31" x14ac:dyDescent="0.2">
      <c r="A47" s="7" t="str">
        <f ca="1">IF(AUTOEVENTO="Manual",IF(EVENTOS!$F47&gt;0,"F",""),IF(CRONOPLE!B47&lt;=MAX(CÁLCULO!$M$15:$M$27),"F",""))</f>
        <v/>
      </c>
      <c r="B47" s="248">
        <f t="shared" ca="1" si="1"/>
        <v>32</v>
      </c>
      <c r="C47" s="515">
        <f ca="1">IF(AUTOEVENTO="Manual",IF($B47&gt;0,OFFSET(EVENTOS!$D$15,$B47-$B$15,0),0),IF(B47&lt;=MAX(CÁLCULO!$M$15:$M$27),VLOOKUP($B47,CÁLCULO!$M$15:$N$27,2,FALSE),0))</f>
        <v>0</v>
      </c>
      <c r="D47" s="560"/>
      <c r="E47" s="249"/>
      <c r="F47" t="str">
        <f t="shared" ca="1" si="2"/>
        <v/>
      </c>
      <c r="G47" s="559"/>
      <c r="H47" s="559"/>
      <c r="I47" s="559"/>
      <c r="J47" s="559"/>
      <c r="K47" s="559"/>
      <c r="L47" s="559"/>
      <c r="M47" s="559"/>
      <c r="N47" s="559"/>
      <c r="O47" s="559"/>
      <c r="P47" s="559"/>
      <c r="Q47" s="559"/>
      <c r="R47" s="559"/>
      <c r="S47" s="559"/>
      <c r="T47" s="559"/>
      <c r="U47" s="559"/>
      <c r="V47" s="559"/>
      <c r="W47" s="559"/>
      <c r="X47" s="559"/>
      <c r="Y47" s="559"/>
      <c r="Z47" s="559"/>
      <c r="AA47" s="559"/>
      <c r="AB47" s="559"/>
      <c r="AC47" s="559"/>
      <c r="AD47" s="559"/>
      <c r="AE47" s="559"/>
    </row>
    <row r="48" spans="1:31" x14ac:dyDescent="0.2">
      <c r="A48" s="7" t="str">
        <f ca="1">IF(AUTOEVENTO="Manual",IF(EVENTOS!$F48&gt;0,"F",""),IF(CRONOPLE!B48&lt;=MAX(CÁLCULO!$M$15:$M$27),"F",""))</f>
        <v/>
      </c>
      <c r="B48" s="248">
        <f t="shared" ca="1" si="1"/>
        <v>33</v>
      </c>
      <c r="C48" s="515">
        <f ca="1">IF(AUTOEVENTO="Manual",IF($B48&gt;0,OFFSET(EVENTOS!$D$15,$B48-$B$15,0),0),IF(B48&lt;=MAX(CÁLCULO!$M$15:$M$27),VLOOKUP($B48,CÁLCULO!$M$15:$N$27,2,FALSE),0))</f>
        <v>0</v>
      </c>
      <c r="D48" s="560"/>
      <c r="E48" s="249"/>
      <c r="F48" t="str">
        <f t="shared" ca="1" si="2"/>
        <v/>
      </c>
      <c r="G48" s="559"/>
      <c r="H48" s="559"/>
      <c r="I48" s="559"/>
      <c r="J48" s="559"/>
      <c r="K48" s="559"/>
      <c r="L48" s="559"/>
      <c r="M48" s="559"/>
      <c r="N48" s="559"/>
      <c r="O48" s="559"/>
      <c r="P48" s="559"/>
      <c r="Q48" s="559"/>
      <c r="R48" s="559"/>
      <c r="S48" s="559"/>
      <c r="T48" s="559"/>
      <c r="U48" s="559"/>
      <c r="V48" s="559"/>
      <c r="W48" s="559"/>
      <c r="X48" s="559"/>
      <c r="Y48" s="559"/>
      <c r="Z48" s="559"/>
      <c r="AA48" s="559"/>
      <c r="AB48" s="559"/>
      <c r="AC48" s="559"/>
      <c r="AD48" s="559"/>
      <c r="AE48" s="559"/>
    </row>
    <row r="49" spans="1:31" x14ac:dyDescent="0.2">
      <c r="A49" s="7" t="str">
        <f ca="1">IF(AUTOEVENTO="Manual",IF(EVENTOS!$F49&gt;0,"F",""),IF(CRONOPLE!B49&lt;=MAX(CÁLCULO!$M$15:$M$27),"F",""))</f>
        <v/>
      </c>
      <c r="B49" s="248">
        <f t="shared" ca="1" si="1"/>
        <v>34</v>
      </c>
      <c r="C49" s="515">
        <f ca="1">IF(AUTOEVENTO="Manual",IF($B49&gt;0,OFFSET(EVENTOS!$D$15,$B49-$B$15,0),0),IF(B49&lt;=MAX(CÁLCULO!$M$15:$M$27),VLOOKUP($B49,CÁLCULO!$M$15:$N$27,2,FALSE),0))</f>
        <v>0</v>
      </c>
      <c r="D49" s="560"/>
      <c r="E49" s="249"/>
      <c r="F49" t="str">
        <f t="shared" ca="1" si="2"/>
        <v/>
      </c>
      <c r="G49" s="559"/>
      <c r="H49" s="559"/>
      <c r="I49" s="559"/>
      <c r="J49" s="559"/>
      <c r="K49" s="559"/>
      <c r="L49" s="559"/>
      <c r="M49" s="559"/>
      <c r="N49" s="559"/>
      <c r="O49" s="559"/>
      <c r="P49" s="559"/>
      <c r="Q49" s="559"/>
      <c r="R49" s="559"/>
      <c r="S49" s="559"/>
      <c r="T49" s="559"/>
      <c r="U49" s="559"/>
      <c r="V49" s="559"/>
      <c r="W49" s="559"/>
      <c r="X49" s="559"/>
      <c r="Y49" s="559"/>
      <c r="Z49" s="559"/>
      <c r="AA49" s="559"/>
      <c r="AB49" s="559"/>
      <c r="AC49" s="559"/>
      <c r="AD49" s="559"/>
      <c r="AE49" s="559"/>
    </row>
    <row r="50" spans="1:31" x14ac:dyDescent="0.2">
      <c r="A50" s="7" t="str">
        <f ca="1">IF(AUTOEVENTO="Manual",IF(EVENTOS!$F50&gt;0,"F",""),IF(CRONOPLE!B50&lt;=MAX(CÁLCULO!$M$15:$M$27),"F",""))</f>
        <v/>
      </c>
      <c r="B50" s="248">
        <f t="shared" ca="1" si="1"/>
        <v>35</v>
      </c>
      <c r="C50" s="515">
        <f ca="1">IF(AUTOEVENTO="Manual",IF($B50&gt;0,OFFSET(EVENTOS!$D$15,$B50-$B$15,0),0),IF(B50&lt;=MAX(CÁLCULO!$M$15:$M$27),VLOOKUP($B50,CÁLCULO!$M$15:$N$27,2,FALSE),0))</f>
        <v>0</v>
      </c>
      <c r="D50" s="560"/>
      <c r="E50" s="249"/>
      <c r="F50" t="str">
        <f t="shared" ca="1" si="2"/>
        <v/>
      </c>
      <c r="G50" s="559"/>
      <c r="H50" s="559"/>
      <c r="I50" s="559"/>
      <c r="J50" s="559"/>
      <c r="K50" s="559"/>
      <c r="L50" s="559"/>
      <c r="M50" s="559"/>
      <c r="N50" s="559"/>
      <c r="O50" s="559"/>
      <c r="P50" s="559"/>
      <c r="Q50" s="559"/>
      <c r="R50" s="559"/>
      <c r="S50" s="559"/>
      <c r="T50" s="559"/>
      <c r="U50" s="559"/>
      <c r="V50" s="559"/>
      <c r="W50" s="559"/>
      <c r="X50" s="559"/>
      <c r="Y50" s="559"/>
      <c r="Z50" s="559"/>
      <c r="AA50" s="559"/>
      <c r="AB50" s="559"/>
      <c r="AC50" s="559"/>
      <c r="AD50" s="559"/>
      <c r="AE50" s="559"/>
    </row>
    <row r="51" spans="1:31" x14ac:dyDescent="0.2">
      <c r="A51" s="7" t="str">
        <f ca="1">IF(AUTOEVENTO="Manual",IF(EVENTOS!$F51&gt;0,"F",""),IF(CRONOPLE!B51&lt;=MAX(CÁLCULO!$M$15:$M$27),"F",""))</f>
        <v/>
      </c>
      <c r="B51" s="248">
        <f t="shared" ca="1" si="1"/>
        <v>36</v>
      </c>
      <c r="C51" s="515">
        <f ca="1">IF(AUTOEVENTO="Manual",IF($B51&gt;0,OFFSET(EVENTOS!$D$15,$B51-$B$15,0),0),IF(B51&lt;=MAX(CÁLCULO!$M$15:$M$27),VLOOKUP($B51,CÁLCULO!$M$15:$N$27,2,FALSE),0))</f>
        <v>0</v>
      </c>
      <c r="D51" s="560"/>
      <c r="E51" s="249"/>
      <c r="F51" t="str">
        <f t="shared" ca="1" si="2"/>
        <v/>
      </c>
      <c r="G51" s="559"/>
      <c r="H51" s="559"/>
      <c r="I51" s="559"/>
      <c r="J51" s="559"/>
      <c r="K51" s="559"/>
      <c r="L51" s="559"/>
      <c r="M51" s="559"/>
      <c r="N51" s="559"/>
      <c r="O51" s="559"/>
      <c r="P51" s="559"/>
      <c r="Q51" s="559"/>
      <c r="R51" s="559"/>
      <c r="S51" s="559"/>
      <c r="T51" s="559"/>
      <c r="U51" s="559"/>
      <c r="V51" s="559"/>
      <c r="W51" s="559"/>
      <c r="X51" s="559"/>
      <c r="Y51" s="559"/>
      <c r="Z51" s="559"/>
      <c r="AA51" s="559"/>
      <c r="AB51" s="559"/>
      <c r="AC51" s="559"/>
      <c r="AD51" s="559"/>
      <c r="AE51" s="559"/>
    </row>
    <row r="52" spans="1:31" x14ac:dyDescent="0.2">
      <c r="A52" s="7" t="str">
        <f ca="1">IF(AUTOEVENTO="Manual",IF(EVENTOS!$F52&gt;0,"F",""),IF(CRONOPLE!B52&lt;=MAX(CÁLCULO!$M$15:$M$27),"F",""))</f>
        <v/>
      </c>
      <c r="B52" s="248">
        <f t="shared" ca="1" si="1"/>
        <v>37</v>
      </c>
      <c r="C52" s="515">
        <f ca="1">IF(AUTOEVENTO="Manual",IF($B52&gt;0,OFFSET(EVENTOS!$D$15,$B52-$B$15,0),0),IF(B52&lt;=MAX(CÁLCULO!$M$15:$M$27),VLOOKUP($B52,CÁLCULO!$M$15:$N$27,2,FALSE),0))</f>
        <v>0</v>
      </c>
      <c r="D52" s="560"/>
      <c r="E52" s="249"/>
      <c r="F52" t="str">
        <f t="shared" ca="1" si="2"/>
        <v/>
      </c>
      <c r="G52" s="559"/>
      <c r="H52" s="559"/>
      <c r="I52" s="559"/>
      <c r="J52" s="559"/>
      <c r="K52" s="559"/>
      <c r="L52" s="559"/>
      <c r="M52" s="559"/>
      <c r="N52" s="559"/>
      <c r="O52" s="559"/>
      <c r="P52" s="559"/>
      <c r="Q52" s="559"/>
      <c r="R52" s="559"/>
      <c r="S52" s="559"/>
      <c r="T52" s="559"/>
      <c r="U52" s="559"/>
      <c r="V52" s="559"/>
      <c r="W52" s="559"/>
      <c r="X52" s="559"/>
      <c r="Y52" s="559"/>
      <c r="Z52" s="559"/>
      <c r="AA52" s="559"/>
      <c r="AB52" s="559"/>
      <c r="AC52" s="559"/>
      <c r="AD52" s="559"/>
      <c r="AE52" s="559"/>
    </row>
    <row r="53" spans="1:31" x14ac:dyDescent="0.2">
      <c r="A53" s="7" t="str">
        <f ca="1">IF(AUTOEVENTO="Manual",IF(EVENTOS!$F53&gt;0,"F",""),IF(CRONOPLE!B53&lt;=MAX(CÁLCULO!$M$15:$M$27),"F",""))</f>
        <v/>
      </c>
      <c r="B53" s="248">
        <f t="shared" ca="1" si="1"/>
        <v>38</v>
      </c>
      <c r="C53" s="515">
        <f ca="1">IF(AUTOEVENTO="Manual",IF($B53&gt;0,OFFSET(EVENTOS!$D$15,$B53-$B$15,0),0),IF(B53&lt;=MAX(CÁLCULO!$M$15:$M$27),VLOOKUP($B53,CÁLCULO!$M$15:$N$27,2,FALSE),0))</f>
        <v>0</v>
      </c>
      <c r="D53" s="560"/>
      <c r="E53" s="249"/>
      <c r="F53" t="str">
        <f t="shared" ca="1" si="2"/>
        <v/>
      </c>
      <c r="G53" s="559"/>
      <c r="H53" s="559"/>
      <c r="I53" s="559"/>
      <c r="J53" s="559"/>
      <c r="K53" s="559"/>
      <c r="L53" s="559"/>
      <c r="M53" s="559"/>
      <c r="N53" s="559"/>
      <c r="O53" s="559"/>
      <c r="P53" s="559"/>
      <c r="Q53" s="559"/>
      <c r="R53" s="559"/>
      <c r="S53" s="559"/>
      <c r="T53" s="559"/>
      <c r="U53" s="559"/>
      <c r="V53" s="559"/>
      <c r="W53" s="559"/>
      <c r="X53" s="559"/>
      <c r="Y53" s="559"/>
      <c r="Z53" s="559"/>
      <c r="AA53" s="559"/>
      <c r="AB53" s="559"/>
      <c r="AC53" s="559"/>
      <c r="AD53" s="559"/>
      <c r="AE53" s="559"/>
    </row>
    <row r="54" spans="1:31" x14ac:dyDescent="0.2">
      <c r="A54" s="7" t="str">
        <f ca="1">IF(AUTOEVENTO="Manual",IF(EVENTOS!$F54&gt;0,"F",""),IF(CRONOPLE!B54&lt;=MAX(CÁLCULO!$M$15:$M$27),"F",""))</f>
        <v/>
      </c>
      <c r="B54" s="248">
        <f t="shared" ca="1" si="1"/>
        <v>39</v>
      </c>
      <c r="C54" s="515">
        <f ca="1">IF(AUTOEVENTO="Manual",IF($B54&gt;0,OFFSET(EVENTOS!$D$15,$B54-$B$15,0),0),IF(B54&lt;=MAX(CÁLCULO!$M$15:$M$27),VLOOKUP($B54,CÁLCULO!$M$15:$N$27,2,FALSE),0))</f>
        <v>0</v>
      </c>
      <c r="D54" s="560"/>
      <c r="E54" s="249"/>
      <c r="F54" t="str">
        <f t="shared" ca="1" si="2"/>
        <v/>
      </c>
      <c r="G54" s="559"/>
      <c r="H54" s="559"/>
      <c r="I54" s="559"/>
      <c r="J54" s="559"/>
      <c r="K54" s="559"/>
      <c r="L54" s="559"/>
      <c r="M54" s="559"/>
      <c r="N54" s="559"/>
      <c r="O54" s="559"/>
      <c r="P54" s="559"/>
      <c r="Q54" s="559"/>
      <c r="R54" s="559"/>
      <c r="S54" s="559"/>
      <c r="T54" s="559"/>
      <c r="U54" s="559"/>
      <c r="V54" s="559"/>
      <c r="W54" s="559"/>
      <c r="X54" s="559"/>
      <c r="Y54" s="559"/>
      <c r="Z54" s="559"/>
      <c r="AA54" s="559"/>
      <c r="AB54" s="559"/>
      <c r="AC54" s="559"/>
      <c r="AD54" s="559"/>
      <c r="AE54" s="559"/>
    </row>
    <row r="55" spans="1:31" x14ac:dyDescent="0.2">
      <c r="A55" s="7" t="str">
        <f ca="1">IF(AUTOEVENTO="Manual",IF(EVENTOS!$F55&gt;0,"F",""),IF(CRONOPLE!B55&lt;=MAX(CÁLCULO!$M$15:$M$27),"F",""))</f>
        <v/>
      </c>
      <c r="B55" s="248">
        <f t="shared" ca="1" si="1"/>
        <v>40</v>
      </c>
      <c r="C55" s="515">
        <f ca="1">IF(AUTOEVENTO="Manual",IF($B55&gt;0,OFFSET(EVENTOS!$D$15,$B55-$B$15,0),0),IF(B55&lt;=MAX(CÁLCULO!$M$15:$M$27),VLOOKUP($B55,CÁLCULO!$M$15:$N$27,2,FALSE),0))</f>
        <v>0</v>
      </c>
      <c r="D55" s="560"/>
      <c r="E55" s="249"/>
      <c r="F55" t="str">
        <f t="shared" ca="1" si="2"/>
        <v/>
      </c>
      <c r="G55" s="559"/>
      <c r="H55" s="559"/>
      <c r="I55" s="559"/>
      <c r="J55" s="559"/>
      <c r="K55" s="559"/>
      <c r="L55" s="559"/>
      <c r="M55" s="559"/>
      <c r="N55" s="559"/>
      <c r="O55" s="559"/>
      <c r="P55" s="559"/>
      <c r="Q55" s="559"/>
      <c r="R55" s="559"/>
      <c r="S55" s="559"/>
      <c r="T55" s="559"/>
      <c r="U55" s="559"/>
      <c r="V55" s="559"/>
      <c r="W55" s="559"/>
      <c r="X55" s="559"/>
      <c r="Y55" s="559"/>
      <c r="Z55" s="559"/>
      <c r="AA55" s="559"/>
      <c r="AB55" s="559"/>
      <c r="AC55" s="559"/>
      <c r="AD55" s="559"/>
      <c r="AE55" s="559"/>
    </row>
    <row r="56" spans="1:31" x14ac:dyDescent="0.2">
      <c r="A56" s="7" t="str">
        <f ca="1">IF(AUTOEVENTO="Manual",IF(EVENTOS!$F56&gt;0,"F",""),IF(CRONOPLE!B56&lt;=MAX(CÁLCULO!$M$15:$M$27),"F",""))</f>
        <v/>
      </c>
      <c r="B56" s="248">
        <f t="shared" ca="1" si="1"/>
        <v>41</v>
      </c>
      <c r="C56" s="515">
        <f ca="1">IF(AUTOEVENTO="Manual",IF($B56&gt;0,OFFSET(EVENTOS!$D$15,$B56-$B$15,0),0),IF(B56&lt;=MAX(CÁLCULO!$M$15:$M$27),VLOOKUP($B56,CÁLCULO!$M$15:$N$27,2,FALSE),0))</f>
        <v>0</v>
      </c>
      <c r="D56" s="560"/>
      <c r="E56" s="249"/>
      <c r="F56" t="str">
        <f t="shared" ca="1" si="2"/>
        <v/>
      </c>
      <c r="G56" s="559"/>
      <c r="H56" s="559"/>
      <c r="I56" s="559"/>
      <c r="J56" s="559"/>
      <c r="K56" s="559"/>
      <c r="L56" s="559"/>
      <c r="M56" s="559"/>
      <c r="N56" s="559"/>
      <c r="O56" s="559"/>
      <c r="P56" s="559"/>
      <c r="Q56" s="559"/>
      <c r="R56" s="559"/>
      <c r="S56" s="559"/>
      <c r="T56" s="559"/>
      <c r="U56" s="559"/>
      <c r="V56" s="559"/>
      <c r="W56" s="559"/>
      <c r="X56" s="559"/>
      <c r="Y56" s="559"/>
      <c r="Z56" s="559"/>
      <c r="AA56" s="559"/>
      <c r="AB56" s="559"/>
      <c r="AC56" s="559"/>
      <c r="AD56" s="559"/>
      <c r="AE56" s="559"/>
    </row>
    <row r="57" spans="1:31" x14ac:dyDescent="0.2">
      <c r="A57" s="7" t="str">
        <f ca="1">IF(AUTOEVENTO="Manual",IF(EVENTOS!$F57&gt;0,"F",""),IF(CRONOPLE!B57&lt;=MAX(CÁLCULO!$M$15:$M$27),"F",""))</f>
        <v/>
      </c>
      <c r="B57" s="248">
        <f t="shared" ca="1" si="1"/>
        <v>42</v>
      </c>
      <c r="C57" s="515">
        <f ca="1">IF(AUTOEVENTO="Manual",IF($B57&gt;0,OFFSET(EVENTOS!$D$15,$B57-$B$15,0),0),IF(B57&lt;=MAX(CÁLCULO!$M$15:$M$27),VLOOKUP($B57,CÁLCULO!$M$15:$N$27,2,FALSE),0))</f>
        <v>0</v>
      </c>
      <c r="D57" s="560"/>
      <c r="E57" s="249"/>
      <c r="F57" t="str">
        <f t="shared" ca="1" si="2"/>
        <v/>
      </c>
      <c r="G57" s="559"/>
      <c r="H57" s="559"/>
      <c r="I57" s="559"/>
      <c r="J57" s="559"/>
      <c r="K57" s="559"/>
      <c r="L57" s="559"/>
      <c r="M57" s="559"/>
      <c r="N57" s="559"/>
      <c r="O57" s="559"/>
      <c r="P57" s="559"/>
      <c r="Q57" s="559"/>
      <c r="R57" s="559"/>
      <c r="S57" s="559"/>
      <c r="T57" s="559"/>
      <c r="U57" s="559"/>
      <c r="V57" s="559"/>
      <c r="W57" s="559"/>
      <c r="X57" s="559"/>
      <c r="Y57" s="559"/>
      <c r="Z57" s="559"/>
      <c r="AA57" s="559"/>
      <c r="AB57" s="559"/>
      <c r="AC57" s="559"/>
      <c r="AD57" s="559"/>
      <c r="AE57" s="559"/>
    </row>
    <row r="58" spans="1:31" x14ac:dyDescent="0.2">
      <c r="A58" s="7" t="str">
        <f ca="1">IF(AUTOEVENTO="Manual",IF(EVENTOS!$F58&gt;0,"F",""),IF(CRONOPLE!B58&lt;=MAX(CÁLCULO!$M$15:$M$27),"F",""))</f>
        <v/>
      </c>
      <c r="B58" s="248">
        <f t="shared" ca="1" si="1"/>
        <v>43</v>
      </c>
      <c r="C58" s="515">
        <f ca="1">IF(AUTOEVENTO="Manual",IF($B58&gt;0,OFFSET(EVENTOS!$D$15,$B58-$B$15,0),0),IF(B58&lt;=MAX(CÁLCULO!$M$15:$M$27),VLOOKUP($B58,CÁLCULO!$M$15:$N$27,2,FALSE),0))</f>
        <v>0</v>
      </c>
      <c r="D58" s="560"/>
      <c r="E58" s="249"/>
      <c r="F58" t="str">
        <f t="shared" ca="1" si="2"/>
        <v/>
      </c>
      <c r="G58" s="559"/>
      <c r="H58" s="559"/>
      <c r="I58" s="559"/>
      <c r="J58" s="559"/>
      <c r="K58" s="559"/>
      <c r="L58" s="559"/>
      <c r="M58" s="559"/>
      <c r="N58" s="559"/>
      <c r="O58" s="559"/>
      <c r="P58" s="559"/>
      <c r="Q58" s="559"/>
      <c r="R58" s="559"/>
      <c r="S58" s="559"/>
      <c r="T58" s="559"/>
      <c r="U58" s="559"/>
      <c r="V58" s="559"/>
      <c r="W58" s="559"/>
      <c r="X58" s="559"/>
      <c r="Y58" s="559"/>
      <c r="Z58" s="559"/>
      <c r="AA58" s="559"/>
      <c r="AB58" s="559"/>
      <c r="AC58" s="559"/>
      <c r="AD58" s="559"/>
      <c r="AE58" s="559"/>
    </row>
    <row r="59" spans="1:31" x14ac:dyDescent="0.2">
      <c r="A59" s="7" t="str">
        <f ca="1">IF(AUTOEVENTO="Manual",IF(EVENTOS!$F59&gt;0,"F",""),IF(CRONOPLE!B59&lt;=MAX(CÁLCULO!$M$15:$M$27),"F",""))</f>
        <v/>
      </c>
      <c r="B59" s="248">
        <f t="shared" ca="1" si="1"/>
        <v>44</v>
      </c>
      <c r="C59" s="515">
        <f ca="1">IF(AUTOEVENTO="Manual",IF($B59&gt;0,OFFSET(EVENTOS!$D$15,$B59-$B$15,0),0),IF(B59&lt;=MAX(CÁLCULO!$M$15:$M$27),VLOOKUP($B59,CÁLCULO!$M$15:$N$27,2,FALSE),0))</f>
        <v>0</v>
      </c>
      <c r="D59" s="560"/>
      <c r="E59" s="249"/>
      <c r="F59" t="str">
        <f t="shared" ca="1" si="2"/>
        <v/>
      </c>
      <c r="G59" s="559"/>
      <c r="H59" s="559"/>
      <c r="I59" s="559"/>
      <c r="J59" s="559"/>
      <c r="K59" s="559"/>
      <c r="L59" s="559"/>
      <c r="M59" s="559"/>
      <c r="N59" s="559"/>
      <c r="O59" s="559"/>
      <c r="P59" s="559"/>
      <c r="Q59" s="559"/>
      <c r="R59" s="559"/>
      <c r="S59" s="559"/>
      <c r="T59" s="559"/>
      <c r="U59" s="559"/>
      <c r="V59" s="559"/>
      <c r="W59" s="559"/>
      <c r="X59" s="559"/>
      <c r="Y59" s="559"/>
      <c r="Z59" s="559"/>
      <c r="AA59" s="559"/>
      <c r="AB59" s="559"/>
      <c r="AC59" s="559"/>
      <c r="AD59" s="559"/>
      <c r="AE59" s="559"/>
    </row>
    <row r="60" spans="1:31" x14ac:dyDescent="0.2">
      <c r="A60" s="7" t="str">
        <f ca="1">IF(AUTOEVENTO="Manual",IF(EVENTOS!$F60&gt;0,"F",""),IF(CRONOPLE!B60&lt;=MAX(CÁLCULO!$M$15:$M$27),"F",""))</f>
        <v/>
      </c>
      <c r="B60" s="248">
        <f t="shared" ca="1" si="1"/>
        <v>45</v>
      </c>
      <c r="C60" s="515">
        <f ca="1">IF(AUTOEVENTO="Manual",IF($B60&gt;0,OFFSET(EVENTOS!$D$15,$B60-$B$15,0),0),IF(B60&lt;=MAX(CÁLCULO!$M$15:$M$27),VLOOKUP($B60,CÁLCULO!$M$15:$N$27,2,FALSE),0))</f>
        <v>0</v>
      </c>
      <c r="D60" s="560"/>
      <c r="E60" s="249"/>
      <c r="F60" t="str">
        <f t="shared" ca="1" si="2"/>
        <v/>
      </c>
      <c r="G60" s="559"/>
      <c r="H60" s="559"/>
      <c r="I60" s="559"/>
      <c r="J60" s="559"/>
      <c r="K60" s="559"/>
      <c r="L60" s="559"/>
      <c r="M60" s="559"/>
      <c r="N60" s="559"/>
      <c r="O60" s="559"/>
      <c r="P60" s="559"/>
      <c r="Q60" s="559"/>
      <c r="R60" s="559"/>
      <c r="S60" s="559"/>
      <c r="T60" s="559"/>
      <c r="U60" s="559"/>
      <c r="V60" s="559"/>
      <c r="W60" s="559"/>
      <c r="X60" s="559"/>
      <c r="Y60" s="559"/>
      <c r="Z60" s="559"/>
      <c r="AA60" s="559"/>
      <c r="AB60" s="559"/>
      <c r="AC60" s="559"/>
      <c r="AD60" s="559"/>
      <c r="AE60" s="559"/>
    </row>
    <row r="61" spans="1:31" x14ac:dyDescent="0.2">
      <c r="A61" s="7" t="str">
        <f ca="1">IF(AUTOEVENTO="Manual",IF(EVENTOS!$F61&gt;0,"F",""),IF(CRONOPLE!B61&lt;=MAX(CÁLCULO!$M$15:$M$27),"F",""))</f>
        <v/>
      </c>
      <c r="B61" s="248">
        <f t="shared" ca="1" si="1"/>
        <v>46</v>
      </c>
      <c r="C61" s="515">
        <f ca="1">IF(AUTOEVENTO="Manual",IF($B61&gt;0,OFFSET(EVENTOS!$D$15,$B61-$B$15,0),0),IF(B61&lt;=MAX(CÁLCULO!$M$15:$M$27),VLOOKUP($B61,CÁLCULO!$M$15:$N$27,2,FALSE),0))</f>
        <v>0</v>
      </c>
      <c r="D61" s="560"/>
      <c r="E61" s="249"/>
      <c r="F61" t="str">
        <f t="shared" ca="1" si="2"/>
        <v/>
      </c>
      <c r="G61" s="559"/>
      <c r="H61" s="559"/>
      <c r="I61" s="559"/>
      <c r="J61" s="559"/>
      <c r="K61" s="559"/>
      <c r="L61" s="559"/>
      <c r="M61" s="559"/>
      <c r="N61" s="559"/>
      <c r="O61" s="559"/>
      <c r="P61" s="559"/>
      <c r="Q61" s="559"/>
      <c r="R61" s="559"/>
      <c r="S61" s="559"/>
      <c r="T61" s="559"/>
      <c r="U61" s="559"/>
      <c r="V61" s="559"/>
      <c r="W61" s="559"/>
      <c r="X61" s="559"/>
      <c r="Y61" s="559"/>
      <c r="Z61" s="559"/>
      <c r="AA61" s="559"/>
      <c r="AB61" s="559"/>
      <c r="AC61" s="559"/>
      <c r="AD61" s="559"/>
      <c r="AE61" s="559"/>
    </row>
    <row r="62" spans="1:31" x14ac:dyDescent="0.2">
      <c r="A62" s="7" t="str">
        <f ca="1">IF(AUTOEVENTO="Manual",IF(EVENTOS!$F62&gt;0,"F",""),IF(CRONOPLE!B62&lt;=MAX(CÁLCULO!$M$15:$M$27),"F",""))</f>
        <v/>
      </c>
      <c r="B62" s="248">
        <f t="shared" ca="1" si="1"/>
        <v>47</v>
      </c>
      <c r="C62" s="515">
        <f ca="1">IF(AUTOEVENTO="Manual",IF($B62&gt;0,OFFSET(EVENTOS!$D$15,$B62-$B$15,0),0),IF(B62&lt;=MAX(CÁLCULO!$M$15:$M$27),VLOOKUP($B62,CÁLCULO!$M$15:$N$27,2,FALSE),0))</f>
        <v>0</v>
      </c>
      <c r="D62" s="560"/>
      <c r="E62" s="249"/>
      <c r="F62" t="str">
        <f t="shared" ca="1" si="2"/>
        <v/>
      </c>
      <c r="G62" s="559"/>
      <c r="H62" s="559"/>
      <c r="I62" s="559"/>
      <c r="J62" s="559"/>
      <c r="K62" s="559"/>
      <c r="L62" s="559"/>
      <c r="M62" s="559"/>
      <c r="N62" s="559"/>
      <c r="O62" s="559"/>
      <c r="P62" s="559"/>
      <c r="Q62" s="559"/>
      <c r="R62" s="559"/>
      <c r="S62" s="559"/>
      <c r="T62" s="559"/>
      <c r="U62" s="559"/>
      <c r="V62" s="559"/>
      <c r="W62" s="559"/>
      <c r="X62" s="559"/>
      <c r="Y62" s="559"/>
      <c r="Z62" s="559"/>
      <c r="AA62" s="559"/>
      <c r="AB62" s="559"/>
      <c r="AC62" s="559"/>
      <c r="AD62" s="559"/>
      <c r="AE62" s="559"/>
    </row>
    <row r="63" spans="1:31" x14ac:dyDescent="0.2">
      <c r="A63" s="7" t="str">
        <f ca="1">IF(AUTOEVENTO="Manual",IF(EVENTOS!$F63&gt;0,"F",""),IF(CRONOPLE!B63&lt;=MAX(CÁLCULO!$M$15:$M$27),"F",""))</f>
        <v/>
      </c>
      <c r="B63" s="248">
        <f t="shared" ca="1" si="1"/>
        <v>48</v>
      </c>
      <c r="C63" s="515">
        <f ca="1">IF(AUTOEVENTO="Manual",IF($B63&gt;0,OFFSET(EVENTOS!$D$15,$B63-$B$15,0),0),IF(B63&lt;=MAX(CÁLCULO!$M$15:$M$27),VLOOKUP($B63,CÁLCULO!$M$15:$N$27,2,FALSE),0))</f>
        <v>0</v>
      </c>
      <c r="D63" s="560"/>
      <c r="E63" s="249"/>
      <c r="F63" t="str">
        <f t="shared" ca="1" si="2"/>
        <v/>
      </c>
      <c r="G63" s="559"/>
      <c r="H63" s="559"/>
      <c r="I63" s="559"/>
      <c r="J63" s="559"/>
      <c r="K63" s="559"/>
      <c r="L63" s="559"/>
      <c r="M63" s="559"/>
      <c r="N63" s="559"/>
      <c r="O63" s="559"/>
      <c r="P63" s="559"/>
      <c r="Q63" s="559"/>
      <c r="R63" s="559"/>
      <c r="S63" s="559"/>
      <c r="T63" s="559"/>
      <c r="U63" s="559"/>
      <c r="V63" s="559"/>
      <c r="W63" s="559"/>
      <c r="X63" s="559"/>
      <c r="Y63" s="559"/>
      <c r="Z63" s="559"/>
      <c r="AA63" s="559"/>
      <c r="AB63" s="559"/>
      <c r="AC63" s="559"/>
      <c r="AD63" s="559"/>
      <c r="AE63" s="559"/>
    </row>
    <row r="64" spans="1:31" x14ac:dyDescent="0.2">
      <c r="A64" s="7" t="str">
        <f ca="1">IF(AUTOEVENTO="Manual",IF(EVENTOS!$F64&gt;0,"F",""),IF(CRONOPLE!B64&lt;=MAX(CÁLCULO!$M$15:$M$27),"F",""))</f>
        <v/>
      </c>
      <c r="B64" s="248">
        <f t="shared" ca="1" si="1"/>
        <v>49</v>
      </c>
      <c r="C64" s="515">
        <f ca="1">IF(AUTOEVENTO="Manual",IF($B64&gt;0,OFFSET(EVENTOS!$D$15,$B64-$B$15,0),0),IF(B64&lt;=MAX(CÁLCULO!$M$15:$M$27),VLOOKUP($B64,CÁLCULO!$M$15:$N$27,2,FALSE),0))</f>
        <v>0</v>
      </c>
      <c r="D64" s="560"/>
      <c r="E64" s="249"/>
      <c r="F64" t="str">
        <f t="shared" ca="1" si="2"/>
        <v/>
      </c>
      <c r="G64" s="559"/>
      <c r="H64" s="559"/>
      <c r="I64" s="559"/>
      <c r="J64" s="559"/>
      <c r="K64" s="559"/>
      <c r="L64" s="559"/>
      <c r="M64" s="559"/>
      <c r="N64" s="559"/>
      <c r="O64" s="559"/>
      <c r="P64" s="559"/>
      <c r="Q64" s="559"/>
      <c r="R64" s="559"/>
      <c r="S64" s="559"/>
      <c r="T64" s="559"/>
      <c r="U64" s="559"/>
      <c r="V64" s="559"/>
      <c r="W64" s="559"/>
      <c r="X64" s="559"/>
      <c r="Y64" s="559"/>
      <c r="Z64" s="559"/>
      <c r="AA64" s="559"/>
      <c r="AB64" s="559"/>
      <c r="AC64" s="559"/>
      <c r="AD64" s="559"/>
      <c r="AE64" s="559"/>
    </row>
    <row r="65" spans="1:31" ht="5.0999999999999996" customHeight="1" x14ac:dyDescent="0.2">
      <c r="B65" s="647"/>
      <c r="C65" s="434"/>
      <c r="D65" s="561"/>
      <c r="E65" s="263"/>
      <c r="F65" s="263"/>
      <c r="G65" s="647"/>
      <c r="H65" s="648"/>
      <c r="I65" s="648"/>
      <c r="J65" s="648"/>
      <c r="K65" s="648"/>
      <c r="L65" s="648"/>
      <c r="M65" s="648"/>
      <c r="N65" s="648"/>
      <c r="O65" s="648"/>
      <c r="P65" s="648"/>
      <c r="Q65" s="648"/>
      <c r="R65" s="648"/>
      <c r="S65" s="648"/>
      <c r="T65" s="648"/>
      <c r="U65" s="648"/>
      <c r="V65" s="648"/>
      <c r="W65" s="648"/>
      <c r="X65" s="648"/>
      <c r="Y65" s="648"/>
      <c r="Z65" s="648"/>
      <c r="AA65" s="648"/>
      <c r="AB65" s="648"/>
      <c r="AC65" s="648"/>
      <c r="AD65" s="648"/>
      <c r="AE65" s="434"/>
    </row>
    <row r="66" spans="1:31" ht="6" customHeight="1" x14ac:dyDescent="0.2">
      <c r="A66" s="7" t="s">
        <v>538</v>
      </c>
    </row>
    <row r="67" spans="1:31" ht="15" x14ac:dyDescent="0.2">
      <c r="A67" s="7" t="s">
        <v>538</v>
      </c>
      <c r="C67" s="487" t="s">
        <v>784</v>
      </c>
      <c r="H67" s="743">
        <f>(ROW($G67)-ROW($G$67))/8*12+1</f>
        <v>1</v>
      </c>
      <c r="I67" s="743"/>
      <c r="J67" s="743">
        <f>H67+1</f>
        <v>2</v>
      </c>
      <c r="K67" s="743"/>
      <c r="L67" s="743">
        <f>J67+1</f>
        <v>3</v>
      </c>
      <c r="M67" s="743"/>
      <c r="N67" s="743">
        <f>L67+1</f>
        <v>4</v>
      </c>
      <c r="O67" s="743"/>
      <c r="P67" s="743">
        <f>N67+1</f>
        <v>5</v>
      </c>
      <c r="Q67" s="743"/>
      <c r="R67" s="743">
        <f>P67+1</f>
        <v>6</v>
      </c>
      <c r="S67" s="743"/>
      <c r="T67" s="743">
        <f>R67+1</f>
        <v>7</v>
      </c>
      <c r="U67" s="743"/>
      <c r="V67" s="743">
        <f>T67+1</f>
        <v>8</v>
      </c>
      <c r="W67" s="743"/>
      <c r="X67" s="743">
        <f>V67+1</f>
        <v>9</v>
      </c>
      <c r="Y67" s="743"/>
      <c r="Z67" s="743">
        <f>X67+1</f>
        <v>10</v>
      </c>
      <c r="AA67" s="743"/>
      <c r="AB67" s="743">
        <f>Z67+1</f>
        <v>11</v>
      </c>
      <c r="AC67" s="743"/>
      <c r="AD67" s="743">
        <f>AB67+1</f>
        <v>12</v>
      </c>
      <c r="AE67" s="743"/>
    </row>
    <row r="68" spans="1:31" ht="12.75" customHeight="1" x14ac:dyDescent="0.2">
      <c r="A68" s="7" t="s">
        <v>538</v>
      </c>
      <c r="C68" s="728" t="s">
        <v>785</v>
      </c>
      <c r="G68" s="557" t="s">
        <v>786</v>
      </c>
      <c r="H68" s="730" t="e">
        <f ca="1">OFFSET(CRONO!$T$27,0,CRONOPLE!H67)</f>
        <v>#DIV/0!</v>
      </c>
      <c r="I68" s="730"/>
      <c r="J68" s="730" t="e">
        <f ca="1">OFFSET(CRONO!$T$27,0,CRONOPLE!J67)</f>
        <v>#DIV/0!</v>
      </c>
      <c r="K68" s="730"/>
      <c r="L68" s="730" t="e">
        <f ca="1">OFFSET(CRONO!$T$27,0,CRONOPLE!L67)</f>
        <v>#DIV/0!</v>
      </c>
      <c r="M68" s="730"/>
      <c r="N68" s="730" t="e">
        <f ca="1">OFFSET(CRONO!$T$27,0,CRONOPLE!N67)</f>
        <v>#DIV/0!</v>
      </c>
      <c r="O68" s="730"/>
      <c r="P68" s="730" t="e">
        <f ca="1">OFFSET(CRONO!$T$27,0,CRONOPLE!P67)</f>
        <v>#DIV/0!</v>
      </c>
      <c r="Q68" s="730"/>
      <c r="R68" s="730" t="e">
        <f ca="1">OFFSET(CRONO!$T$27,0,CRONOPLE!R67)</f>
        <v>#DIV/0!</v>
      </c>
      <c r="S68" s="730"/>
      <c r="T68" s="730" t="e">
        <f ca="1">OFFSET(CRONO!$T$27,0,CRONOPLE!T67)</f>
        <v>#DIV/0!</v>
      </c>
      <c r="U68" s="730"/>
      <c r="V68" s="730" t="e">
        <f ca="1">OFFSET(CRONO!$T$27,0,CRONOPLE!V67)</f>
        <v>#DIV/0!</v>
      </c>
      <c r="W68" s="730"/>
      <c r="X68" s="730" t="e">
        <f ca="1">OFFSET(CRONO!$T$27,0,CRONOPLE!X67)</f>
        <v>#DIV/0!</v>
      </c>
      <c r="Y68" s="730"/>
      <c r="Z68" s="730" t="e">
        <f ca="1">OFFSET(CRONO!$T$27,0,CRONOPLE!Z67)</f>
        <v>#DIV/0!</v>
      </c>
      <c r="AA68" s="730"/>
      <c r="AB68" s="730" t="e">
        <f ca="1">OFFSET(CRONO!$T$27,0,CRONOPLE!AB67)</f>
        <v>#DIV/0!</v>
      </c>
      <c r="AC68" s="730"/>
      <c r="AD68" s="730" t="e">
        <f ca="1">OFFSET(CRONO!$T$27,0,CRONOPLE!AD67)</f>
        <v>#DIV/0!</v>
      </c>
      <c r="AE68" s="730"/>
    </row>
    <row r="69" spans="1:31" ht="12.75" customHeight="1" x14ac:dyDescent="0.2">
      <c r="A69" s="7" t="s">
        <v>538</v>
      </c>
      <c r="C69" s="745"/>
      <c r="G69" s="488" t="s">
        <v>787</v>
      </c>
      <c r="H69" s="746">
        <f ca="1">OFFSET(CRONO!$T$31,0,CRONOPLE!H67)</f>
        <v>0</v>
      </c>
      <c r="I69" s="746"/>
      <c r="J69" s="747">
        <f ca="1">OFFSET(CRONO!$T$31,0,CRONOPLE!J67)</f>
        <v>0</v>
      </c>
      <c r="K69" s="748"/>
      <c r="L69" s="747">
        <f ca="1">OFFSET(CRONO!$T$31,0,CRONOPLE!L67)</f>
        <v>0</v>
      </c>
      <c r="M69" s="748"/>
      <c r="N69" s="747">
        <f ca="1">OFFSET(CRONO!$T$31,0,CRONOPLE!N67)</f>
        <v>0</v>
      </c>
      <c r="O69" s="748"/>
      <c r="P69" s="747">
        <f ca="1">OFFSET(CRONO!$T$31,0,CRONOPLE!P67)</f>
        <v>0</v>
      </c>
      <c r="Q69" s="748"/>
      <c r="R69" s="747">
        <f ca="1">OFFSET(CRONO!$T$31,0,CRONOPLE!R67)</f>
        <v>0</v>
      </c>
      <c r="S69" s="748"/>
      <c r="T69" s="747">
        <f ca="1">OFFSET(CRONO!$T$31,0,CRONOPLE!T67)</f>
        <v>0</v>
      </c>
      <c r="U69" s="748"/>
      <c r="V69" s="747">
        <f ca="1">OFFSET(CRONO!$T$31,0,CRONOPLE!V67)</f>
        <v>0</v>
      </c>
      <c r="W69" s="748"/>
      <c r="X69" s="747">
        <f ca="1">OFFSET(CRONO!$T$31,0,CRONOPLE!X67)</f>
        <v>0</v>
      </c>
      <c r="Y69" s="748"/>
      <c r="Z69" s="747">
        <f ca="1">OFFSET(CRONO!$T$31,0,CRONOPLE!Z67)</f>
        <v>0</v>
      </c>
      <c r="AA69" s="748"/>
      <c r="AB69" s="747">
        <f ca="1">OFFSET(CRONO!$T$31,0,CRONOPLE!AB67)</f>
        <v>0</v>
      </c>
      <c r="AC69" s="748"/>
      <c r="AD69" s="747">
        <f ca="1">OFFSET(CRONO!$T$31,0,CRONOPLE!AD67)</f>
        <v>0</v>
      </c>
      <c r="AE69" s="748"/>
    </row>
    <row r="70" spans="1:31" ht="12.75" customHeight="1" x14ac:dyDescent="0.2">
      <c r="A70" s="7" t="s">
        <v>538</v>
      </c>
      <c r="C70" s="728" t="s">
        <v>788</v>
      </c>
      <c r="G70" s="557" t="s">
        <v>786</v>
      </c>
      <c r="H70" s="730" t="e">
        <f ca="1">OFFSET(CRONO!$T$32,0,CRONOPLE!H67)</f>
        <v>#DIV/0!</v>
      </c>
      <c r="I70" s="730"/>
      <c r="J70" s="733" t="e">
        <f ca="1">OFFSET(CRONO!$T$32,0,CRONOPLE!J67)</f>
        <v>#DIV/0!</v>
      </c>
      <c r="K70" s="734"/>
      <c r="L70" s="733" t="e">
        <f ca="1">OFFSET(CRONO!$T$32,0,CRONOPLE!L67)</f>
        <v>#DIV/0!</v>
      </c>
      <c r="M70" s="734"/>
      <c r="N70" s="733" t="e">
        <f ca="1">OFFSET(CRONO!$T$32,0,CRONOPLE!N67)</f>
        <v>#DIV/0!</v>
      </c>
      <c r="O70" s="734"/>
      <c r="P70" s="733" t="e">
        <f ca="1">OFFSET(CRONO!$T$32,0,CRONOPLE!P67)</f>
        <v>#DIV/0!</v>
      </c>
      <c r="Q70" s="734"/>
      <c r="R70" s="733" t="e">
        <f ca="1">OFFSET(CRONO!$T$32,0,CRONOPLE!R67)</f>
        <v>#DIV/0!</v>
      </c>
      <c r="S70" s="734"/>
      <c r="T70" s="733" t="e">
        <f ca="1">OFFSET(CRONO!$T$32,0,CRONOPLE!T67)</f>
        <v>#DIV/0!</v>
      </c>
      <c r="U70" s="734"/>
      <c r="V70" s="733" t="e">
        <f ca="1">OFFSET(CRONO!$T$32,0,CRONOPLE!V67)</f>
        <v>#DIV/0!</v>
      </c>
      <c r="W70" s="734"/>
      <c r="X70" s="733" t="e">
        <f ca="1">OFFSET(CRONO!$T$32,0,CRONOPLE!X67)</f>
        <v>#DIV/0!</v>
      </c>
      <c r="Y70" s="734"/>
      <c r="Z70" s="733" t="e">
        <f ca="1">OFFSET(CRONO!$T$32,0,CRONOPLE!Z67)</f>
        <v>#DIV/0!</v>
      </c>
      <c r="AA70" s="734"/>
      <c r="AB70" s="733" t="e">
        <f ca="1">OFFSET(CRONO!$T$32,0,CRONOPLE!AB67)</f>
        <v>#DIV/0!</v>
      </c>
      <c r="AC70" s="734"/>
      <c r="AD70" s="733" t="e">
        <f ca="1">OFFSET(CRONO!$T$32,0,CRONOPLE!AD67)</f>
        <v>#DIV/0!</v>
      </c>
      <c r="AE70" s="734"/>
    </row>
    <row r="71" spans="1:31" ht="12.75" customHeight="1" x14ac:dyDescent="0.2">
      <c r="A71" s="7" t="s">
        <v>538</v>
      </c>
      <c r="C71" s="729"/>
      <c r="G71" s="488" t="s">
        <v>787</v>
      </c>
      <c r="H71" s="738">
        <f ca="1">OFFSET(CRONO!$T$36,0,CRONOPLE!H67)</f>
        <v>0</v>
      </c>
      <c r="I71" s="738"/>
      <c r="J71" s="735">
        <f ca="1">OFFSET(CRONO!$T$36,0,CRONOPLE!J67)</f>
        <v>0</v>
      </c>
      <c r="K71" s="736"/>
      <c r="L71" s="735">
        <f ca="1">OFFSET(CRONO!$T$36,0,CRONOPLE!L67)</f>
        <v>0</v>
      </c>
      <c r="M71" s="736"/>
      <c r="N71" s="735">
        <f ca="1">OFFSET(CRONO!$T$36,0,CRONOPLE!N67)</f>
        <v>0</v>
      </c>
      <c r="O71" s="736"/>
      <c r="P71" s="735">
        <f ca="1">OFFSET(CRONO!$T$36,0,CRONOPLE!P67)</f>
        <v>0</v>
      </c>
      <c r="Q71" s="736"/>
      <c r="R71" s="735">
        <f ca="1">OFFSET(CRONO!$T$36,0,CRONOPLE!R67)</f>
        <v>0</v>
      </c>
      <c r="S71" s="736"/>
      <c r="T71" s="735">
        <f ca="1">OFFSET(CRONO!$T$36,0,CRONOPLE!T67)</f>
        <v>0</v>
      </c>
      <c r="U71" s="736"/>
      <c r="V71" s="735">
        <f ca="1">OFFSET(CRONO!$T$36,0,CRONOPLE!V67)</f>
        <v>0</v>
      </c>
      <c r="W71" s="736"/>
      <c r="X71" s="735">
        <f ca="1">OFFSET(CRONO!$T$36,0,CRONOPLE!X67)</f>
        <v>0</v>
      </c>
      <c r="Y71" s="736"/>
      <c r="Z71" s="735">
        <f ca="1">OFFSET(CRONO!$T$36,0,CRONOPLE!Z67)</f>
        <v>0</v>
      </c>
      <c r="AA71" s="736"/>
      <c r="AB71" s="735">
        <f ca="1">OFFSET(CRONO!$T$36,0,CRONOPLE!AB67)</f>
        <v>0</v>
      </c>
      <c r="AC71" s="736"/>
      <c r="AD71" s="735">
        <f ca="1">OFFSET(CRONO!$T$36,0,CRONOPLE!AD67)</f>
        <v>0</v>
      </c>
      <c r="AE71" s="736"/>
    </row>
    <row r="72" spans="1:31" ht="12.75" customHeight="1" x14ac:dyDescent="0.2">
      <c r="A72" s="7" t="s">
        <v>538</v>
      </c>
      <c r="C72" s="558" t="s">
        <v>789</v>
      </c>
      <c r="D72" s="556"/>
      <c r="G72" s="557" t="s">
        <v>786</v>
      </c>
      <c r="H72" s="730" t="str">
        <f ca="1">OFFSET(CRONO!$T$37,0,CRONOPLE!H67)</f>
        <v/>
      </c>
      <c r="I72" s="730"/>
      <c r="J72" s="731" t="str">
        <f ca="1">OFFSET(CRONO!$T$37,0,CRONOPLE!J67)</f>
        <v/>
      </c>
      <c r="K72" s="732"/>
      <c r="L72" s="731" t="str">
        <f ca="1">OFFSET(CRONO!$T$37,0,CRONOPLE!L67)</f>
        <v/>
      </c>
      <c r="M72" s="732"/>
      <c r="N72" s="731" t="str">
        <f ca="1">OFFSET(CRONO!$T$37,0,CRONOPLE!N67)</f>
        <v/>
      </c>
      <c r="O72" s="732"/>
      <c r="P72" s="731" t="str">
        <f ca="1">OFFSET(CRONO!$T$37,0,CRONOPLE!P67)</f>
        <v/>
      </c>
      <c r="Q72" s="732"/>
      <c r="R72" s="731" t="str">
        <f ca="1">OFFSET(CRONO!$T$37,0,CRONOPLE!R67)</f>
        <v/>
      </c>
      <c r="S72" s="732"/>
      <c r="T72" s="731" t="str">
        <f ca="1">OFFSET(CRONO!$T$37,0,CRONOPLE!T67)</f>
        <v/>
      </c>
      <c r="U72" s="732"/>
      <c r="V72" s="731" t="str">
        <f ca="1">OFFSET(CRONO!$T$37,0,CRONOPLE!V67)</f>
        <v/>
      </c>
      <c r="W72" s="732"/>
      <c r="X72" s="731" t="str">
        <f ca="1">OFFSET(CRONO!$T$37,0,CRONOPLE!X67)</f>
        <v/>
      </c>
      <c r="Y72" s="732"/>
      <c r="Z72" s="731" t="str">
        <f ca="1">OFFSET(CRONO!$T$37,0,CRONOPLE!Z67)</f>
        <v/>
      </c>
      <c r="AA72" s="732"/>
      <c r="AB72" s="731" t="str">
        <f ca="1">OFFSET(CRONO!$T$37,0,CRONOPLE!AB67)</f>
        <v/>
      </c>
      <c r="AC72" s="732"/>
      <c r="AD72" s="731" t="str">
        <f ca="1">OFFSET(CRONO!$T$37,0,CRONOPLE!AD67)</f>
        <v/>
      </c>
      <c r="AE72" s="732"/>
    </row>
    <row r="73" spans="1:31" ht="15" customHeight="1" x14ac:dyDescent="0.25">
      <c r="A73" s="7" t="s">
        <v>538</v>
      </c>
      <c r="C73" s="555"/>
      <c r="G73" s="590" t="str">
        <f ca="1">IF(COUNTIF(H73:AF73,"%Adm&gt;%Global")&gt;0,"Verificar proporcionalidade da Administração Local","")</f>
        <v/>
      </c>
      <c r="H73" s="536" t="str">
        <f ca="1">IF(H72="","",IF(ROUND(H72,4)&gt;ROUND(H70,4),"%Adm&gt;%Global",""))</f>
        <v/>
      </c>
      <c r="J73" s="536" t="str">
        <f t="shared" ref="J73" ca="1" si="3">IF(J72="","",IF(ROUND(J72,4)&gt;ROUND(J70,4),"%Adm&gt;%Global",""))</f>
        <v/>
      </c>
      <c r="L73" s="536" t="str">
        <f t="shared" ref="L73" ca="1" si="4">IF(L72="","",IF(ROUND(L72,4)&gt;ROUND(L70,4),"%Adm&gt;%Global",""))</f>
        <v/>
      </c>
      <c r="N73" s="536" t="str">
        <f t="shared" ref="N73" ca="1" si="5">IF(N72="","",IF(ROUND(N72,4)&gt;ROUND(N70,4),"%Adm&gt;%Global",""))</f>
        <v/>
      </c>
      <c r="P73" s="536" t="str">
        <f t="shared" ref="P73" ca="1" si="6">IF(P72="","",IF(ROUND(P72,4)&gt;ROUND(P70,4),"%Adm&gt;%Global",""))</f>
        <v/>
      </c>
      <c r="R73" s="536" t="str">
        <f t="shared" ref="R73" ca="1" si="7">IF(R72="","",IF(ROUND(R72,4)&gt;ROUND(R70,4),"%Adm&gt;%Global",""))</f>
        <v/>
      </c>
      <c r="T73" s="536" t="str">
        <f t="shared" ref="T73" ca="1" si="8">IF(T72="","",IF(ROUND(T72,4)&gt;ROUND(T70,4),"%Adm&gt;%Global",""))</f>
        <v/>
      </c>
      <c r="V73" s="536" t="str">
        <f t="shared" ref="V73" ca="1" si="9">IF(V72="","",IF(ROUND(V72,4)&gt;ROUND(V70,4),"%Adm&gt;%Global",""))</f>
        <v/>
      </c>
      <c r="X73" s="536" t="str">
        <f t="shared" ref="X73" ca="1" si="10">IF(X72="","",IF(ROUND(X72,4)&gt;ROUND(X70,4),"%Adm&gt;%Global",""))</f>
        <v/>
      </c>
      <c r="Z73" s="536" t="str">
        <f t="shared" ref="Z73" ca="1" si="11">IF(Z72="","",IF(ROUND(Z72,4)&gt;ROUND(Z70,4),"%Adm&gt;%Global",""))</f>
        <v/>
      </c>
      <c r="AB73" s="536" t="str">
        <f t="shared" ref="AB73" ca="1" si="12">IF(AB72="","",IF(ROUND(AB72,4)&gt;ROUND(AB70,4),"%Adm&gt;%Global",""))</f>
        <v/>
      </c>
      <c r="AD73" s="536" t="str">
        <f t="shared" ref="AD73" ca="1" si="13">IF(AD72="","",IF(ROUND(AD72,4)&gt;ROUND(AD70,4),"%Adm&gt;%Global",""))</f>
        <v/>
      </c>
    </row>
    <row r="74" spans="1:31" x14ac:dyDescent="0.2">
      <c r="A74" s="7" t="s">
        <v>538</v>
      </c>
    </row>
    <row r="75" spans="1:31" ht="15" x14ac:dyDescent="0.2">
      <c r="A75" s="7" t="s">
        <v>538</v>
      </c>
      <c r="B75" s="139" t="str">
        <f>Import.Município</f>
        <v>CAÇAPAVA DO SUL/RS</v>
      </c>
      <c r="C75" s="139"/>
      <c r="E75" s="489"/>
      <c r="F75" s="489"/>
      <c r="G75" s="489"/>
      <c r="H75" s="489"/>
      <c r="I75" s="489"/>
      <c r="J75" s="489"/>
      <c r="K75" s="489"/>
      <c r="L75" s="489"/>
      <c r="V75" s="461"/>
      <c r="W75" s="418"/>
      <c r="X75" s="418"/>
      <c r="Y75" s="418"/>
      <c r="Z75" s="418"/>
      <c r="AA75" s="418"/>
      <c r="AB75" s="418"/>
      <c r="AC75" s="418"/>
      <c r="AD75" s="418"/>
      <c r="AE75" s="418"/>
    </row>
    <row r="76" spans="1:31" x14ac:dyDescent="0.2">
      <c r="A76" s="7" t="s">
        <v>538</v>
      </c>
      <c r="B76" s="9" t="s">
        <v>696</v>
      </c>
      <c r="F76" s="186"/>
      <c r="G76" s="186"/>
      <c r="H76" s="186"/>
      <c r="I76" s="186"/>
      <c r="J76" s="186"/>
      <c r="K76" s="186"/>
      <c r="L76" s="188"/>
      <c r="V76" s="182" t="s">
        <v>699</v>
      </c>
    </row>
    <row r="77" spans="1:31" x14ac:dyDescent="0.2">
      <c r="A77" s="7" t="s">
        <v>538</v>
      </c>
      <c r="F77" s="186"/>
      <c r="G77" s="186"/>
      <c r="H77" s="186"/>
      <c r="I77" s="186"/>
      <c r="J77" s="186"/>
      <c r="K77" s="186"/>
      <c r="L77" s="188"/>
      <c r="V77" s="399" t="str">
        <f t="array" aca="1" ref="V77:V79" ca="1">OFFSET(Import.RespOrçamento,0,-1) &amp; " " &amp; Import.RespOrçamento</f>
        <v>Nome: HELMESONA DE O. SANTANA</v>
      </c>
    </row>
    <row r="78" spans="1:31" ht="16.5" x14ac:dyDescent="0.3">
      <c r="A78" s="7" t="s">
        <v>538</v>
      </c>
      <c r="B78" s="737">
        <f>DADOS!$C$25</f>
        <v>45803</v>
      </c>
      <c r="C78" s="737"/>
      <c r="F78" s="186"/>
      <c r="G78" s="186"/>
      <c r="H78" s="186"/>
      <c r="I78" s="186"/>
      <c r="J78" s="186"/>
      <c r="K78" s="186"/>
      <c r="L78" s="188"/>
      <c r="V78" s="399" t="str">
        <f ca="1"/>
        <v>CREA/CAU: CREA RS152843</v>
      </c>
    </row>
    <row r="79" spans="1:31" x14ac:dyDescent="0.2">
      <c r="A79" s="7" t="s">
        <v>538</v>
      </c>
      <c r="B79" s="9" t="s">
        <v>697</v>
      </c>
      <c r="F79" s="186"/>
      <c r="G79" s="186"/>
      <c r="H79" s="186"/>
      <c r="I79" s="186"/>
      <c r="J79" s="186"/>
      <c r="K79" s="186"/>
      <c r="L79" s="188"/>
      <c r="V79" s="399" t="str">
        <f ca="1"/>
        <v>ART/RRT: ART 8809670</v>
      </c>
    </row>
  </sheetData>
  <sheetProtection password="BD1F" sheet="1" objects="1" scenarios="1" autoFilter="0"/>
  <autoFilter ref="A13:A79"/>
  <mergeCells count="86">
    <mergeCell ref="AD69:AE69"/>
    <mergeCell ref="L69:M69"/>
    <mergeCell ref="N69:O69"/>
    <mergeCell ref="AB72:AC72"/>
    <mergeCell ref="AD72:AE72"/>
    <mergeCell ref="R72:S72"/>
    <mergeCell ref="T72:U72"/>
    <mergeCell ref="V72:W72"/>
    <mergeCell ref="X72:Y72"/>
    <mergeCell ref="Z72:AA72"/>
    <mergeCell ref="AD70:AE70"/>
    <mergeCell ref="L72:M72"/>
    <mergeCell ref="N72:O72"/>
    <mergeCell ref="P72:Q72"/>
    <mergeCell ref="AD71:AE71"/>
    <mergeCell ref="L71:M71"/>
    <mergeCell ref="AB69:AC69"/>
    <mergeCell ref="X68:Y68"/>
    <mergeCell ref="Z68:AA68"/>
    <mergeCell ref="AB68:AC68"/>
    <mergeCell ref="L68:M68"/>
    <mergeCell ref="N68:O68"/>
    <mergeCell ref="P68:Q68"/>
    <mergeCell ref="R68:S68"/>
    <mergeCell ref="T68:U68"/>
    <mergeCell ref="V68:W68"/>
    <mergeCell ref="T69:U69"/>
    <mergeCell ref="V69:W69"/>
    <mergeCell ref="X69:Y69"/>
    <mergeCell ref="Z69:AA69"/>
    <mergeCell ref="P69:Q69"/>
    <mergeCell ref="R69:S69"/>
    <mergeCell ref="C68:C69"/>
    <mergeCell ref="H68:I68"/>
    <mergeCell ref="J68:K68"/>
    <mergeCell ref="H69:I69"/>
    <mergeCell ref="J69:K69"/>
    <mergeCell ref="H67:I67"/>
    <mergeCell ref="J67:K67"/>
    <mergeCell ref="L67:M67"/>
    <mergeCell ref="AD67:AE67"/>
    <mergeCell ref="B8:C8"/>
    <mergeCell ref="AB67:AC67"/>
    <mergeCell ref="N67:O67"/>
    <mergeCell ref="P67:Q67"/>
    <mergeCell ref="B12:B13"/>
    <mergeCell ref="C12:C13"/>
    <mergeCell ref="R67:S67"/>
    <mergeCell ref="AD68:AE68"/>
    <mergeCell ref="T67:U67"/>
    <mergeCell ref="V67:W67"/>
    <mergeCell ref="X67:Y67"/>
    <mergeCell ref="Z67:AA67"/>
    <mergeCell ref="AC2:AE2"/>
    <mergeCell ref="B4:D4"/>
    <mergeCell ref="G4:I4"/>
    <mergeCell ref="J4:L4"/>
    <mergeCell ref="B5:D5"/>
    <mergeCell ref="G5:I5"/>
    <mergeCell ref="J5:L5"/>
    <mergeCell ref="M5:AE5"/>
    <mergeCell ref="B78:C78"/>
    <mergeCell ref="V71:W71"/>
    <mergeCell ref="X71:Y71"/>
    <mergeCell ref="Z71:AA71"/>
    <mergeCell ref="H70:I70"/>
    <mergeCell ref="J70:K70"/>
    <mergeCell ref="L70:M70"/>
    <mergeCell ref="N70:O70"/>
    <mergeCell ref="H71:I71"/>
    <mergeCell ref="J71:K71"/>
    <mergeCell ref="N71:O71"/>
    <mergeCell ref="P71:Q71"/>
    <mergeCell ref="R71:S71"/>
    <mergeCell ref="T71:U71"/>
    <mergeCell ref="P70:Q70"/>
    <mergeCell ref="R70:S70"/>
    <mergeCell ref="C70:C71"/>
    <mergeCell ref="H72:I72"/>
    <mergeCell ref="J72:K72"/>
    <mergeCell ref="X70:Y70"/>
    <mergeCell ref="AB71:AC71"/>
    <mergeCell ref="Z70:AA70"/>
    <mergeCell ref="AB70:AC70"/>
    <mergeCell ref="T70:U70"/>
    <mergeCell ref="V70:W70"/>
  </mergeCells>
  <phoneticPr fontId="38" type="noConversion"/>
  <conditionalFormatting sqref="E1 G1:AE1">
    <cfRule type="expression" dxfId="188" priority="539" stopIfTrue="1">
      <formula>IF(OR(E$12&gt;CÁLCULO.NúmeroDeFrentes,ACOMPANHAMENTO="BM"),TRUE,CRONOPLE.ValorDoEvento=0)</formula>
    </cfRule>
  </conditionalFormatting>
  <conditionalFormatting sqref="U4:Y4">
    <cfRule type="expression" dxfId="187" priority="429" stopIfTrue="1">
      <formula>QCI.ExisteManual</formula>
    </cfRule>
  </conditionalFormatting>
  <conditionalFormatting sqref="J67:AE67">
    <cfRule type="expression" dxfId="186" priority="428" stopIfTrue="1">
      <formula>OFFSET(J67,3,-2)=1</formula>
    </cfRule>
  </conditionalFormatting>
  <conditionalFormatting sqref="J68:AE68">
    <cfRule type="expression" dxfId="185" priority="423" stopIfTrue="1">
      <formula>OFFSET(J68,2,-2)=1</formula>
    </cfRule>
  </conditionalFormatting>
  <conditionalFormatting sqref="J69:AE69">
    <cfRule type="expression" dxfId="184" priority="422" stopIfTrue="1">
      <formula>OFFSET(J69,1,-2)=1</formula>
    </cfRule>
  </conditionalFormatting>
  <conditionalFormatting sqref="J70:AE70">
    <cfRule type="expression" dxfId="183" priority="421" stopIfTrue="1">
      <formula>OFFSET(J70,0,-2)=1</formula>
    </cfRule>
  </conditionalFormatting>
  <conditionalFormatting sqref="J71:AE71">
    <cfRule type="expression" dxfId="182" priority="420" stopIfTrue="1">
      <formula>OFFSET(J71,-1,-2)=1</formula>
    </cfRule>
  </conditionalFormatting>
  <conditionalFormatting sqref="B15:C15 E15 G15:AF15">
    <cfRule type="expression" dxfId="181" priority="244">
      <formula>$B$15=0</formula>
    </cfRule>
  </conditionalFormatting>
  <conditionalFormatting sqref="B8:C8">
    <cfRule type="expression" dxfId="180" priority="243">
      <formula>$B$7=""</formula>
    </cfRule>
  </conditionalFormatting>
  <conditionalFormatting sqref="J72:AE72">
    <cfRule type="expression" dxfId="179" priority="242">
      <formula>OFFSET(J72,-2,-2)=1</formula>
    </cfRule>
  </conditionalFormatting>
  <conditionalFormatting sqref="H72:AE72">
    <cfRule type="expression" dxfId="178" priority="241">
      <formula>ROUND(H72,4)&gt;ROUND(H70,4)</formula>
    </cfRule>
  </conditionalFormatting>
  <conditionalFormatting sqref="E16:E24 G16:AE24">
    <cfRule type="expression" dxfId="177" priority="6" stopIfTrue="1">
      <formula>IF(OR(E$12&gt;CÁLCULO.NúmeroDeFrentes,ACOMPANHAMENTO="BM"),TRUE,CRONOPLE.ValorDoEvento=0)</formula>
    </cfRule>
  </conditionalFormatting>
  <conditionalFormatting sqref="E25:E33 G25:AE33">
    <cfRule type="expression" dxfId="176" priority="5" stopIfTrue="1">
      <formula>IF(OR(E$12&gt;CÁLCULO.NúmeroDeFrentes,ACOMPANHAMENTO="BM"),TRUE,CRONOPLE.ValorDoEvento=0)</formula>
    </cfRule>
  </conditionalFormatting>
  <conditionalFormatting sqref="E34:E42 G34:AE42">
    <cfRule type="expression" dxfId="175" priority="4" stopIfTrue="1">
      <formula>IF(OR(E$12&gt;CÁLCULO.NúmeroDeFrentes,ACOMPANHAMENTO="BM"),TRUE,CRONOPLE.ValorDoEvento=0)</formula>
    </cfRule>
  </conditionalFormatting>
  <conditionalFormatting sqref="E43:E51 G43:AE51">
    <cfRule type="expression" dxfId="174" priority="3" stopIfTrue="1">
      <formula>IF(OR(E$12&gt;CÁLCULO.NúmeroDeFrentes,ACOMPANHAMENTO="BM"),TRUE,CRONOPLE.ValorDoEvento=0)</formula>
    </cfRule>
  </conditionalFormatting>
  <conditionalFormatting sqref="E52:E60 G52:AE60">
    <cfRule type="expression" dxfId="173" priority="2" stopIfTrue="1">
      <formula>IF(OR(E$12&gt;CÁLCULO.NúmeroDeFrentes,ACOMPANHAMENTO="BM"),TRUE,CRONOPLE.ValorDoEvento=0)</formula>
    </cfRule>
  </conditionalFormatting>
  <conditionalFormatting sqref="E61:E64 G61:AE64">
    <cfRule type="expression" dxfId="172" priority="1" stopIfTrue="1">
      <formula>IF(OR(E$12&gt;CÁLCULO.NúmeroDeFrentes,ACOMPANHAMENTO="BM"),TRUE,CRONOPLE.ValorDoEvento=0)</formula>
    </cfRule>
  </conditionalFormatting>
  <dataValidations count="2">
    <dataValidation type="whole" operator="greaterThan" allowBlank="1" showErrorMessage="1" sqref="U2:AA3 AC3:AC4 JY3:JY4 TU3:TU4 ADQ3:ADQ4 ANM3:ANM4 AXI3:AXI4 BHE3:BHE4 BRA3:BRA4 CAW3:CAW4 CKS3:CKS4 CUO3:CUO4 DEK3:DEK4 DOG3:DOG4 DYC3:DYC4 EHY3:EHY4 ERU3:ERU4 FBQ3:FBQ4 FLM3:FLM4 FVI3:FVI4 GFE3:GFE4 GPA3:GPA4 GYW3:GYW4 HIS3:HIS4 HSO3:HSO4 ICK3:ICK4 IMG3:IMG4 IWC3:IWC4 JFY3:JFY4 JPU3:JPU4 JZQ3:JZQ4 KJM3:KJM4 KTI3:KTI4 LDE3:LDE4 LNA3:LNA4 LWW3:LWW4 MGS3:MGS4 MQO3:MQO4 NAK3:NAK4 NKG3:NKG4 NUC3:NUC4 ODY3:ODY4 ONU3:ONU4 OXQ3:OXQ4 PHM3:PHM4 PRI3:PRI4 QBE3:QBE4 QLA3:QLA4 QUW3:QUW4 RES3:RES4 ROO3:ROO4 RYK3:RYK4 SIG3:SIG4 SSC3:SSC4 TBY3:TBY4 TLU3:TLU4 TVQ3:TVQ4 UFM3:UFM4 UPI3:UPI4 UZE3:UZE4 VJA3:VJA4 VSW3:VSW4 WCS3:WCS4 WMO3:WMO4 WWK3:WWK4 G3 JC3 SY3 ACU3 AMQ3 AWM3 BGI3 BQE3 CAA3 CJW3 CTS3 DDO3 DNK3 DXG3 EHC3 EQY3 FAU3 FKQ3 FUM3 GEI3 GOE3 GYA3 HHW3 HRS3 IBO3 ILK3 IVG3 JFC3 JOY3 JYU3 KIQ3 KSM3 LCI3 LME3 LWA3 MFW3 MPS3 MZO3 NJK3 NTG3 ODC3 OMY3 OWU3 PGQ3 PQM3 QAI3 QKE3 QUA3 RDW3 RNS3 RXO3 SHK3 SRG3 TBC3 TKY3 TUU3 UEQ3 UOM3 UYI3 VIE3 VSA3 WBW3 WLS3 WVO3 Z4:AA4 WVP2:WVZ3 WLT2:WMD3 WBX2:WCH3 VSB2:VSL3 VIF2:VIP3 UYJ2:UYT3 UON2:UOX3 UER2:UFB3 TUV2:TVF3 TKZ2:TLJ3 TBD2:TBN3 SRH2:SRR3 SHL2:SHV3 RXP2:RXZ3 RNT2:ROD3 RDX2:REH3 QUB2:QUL3 QKF2:QKP3 QAJ2:QAT3 PQN2:PQX3 PGR2:PHB3 OWV2:OXF3 OMZ2:ONJ3 ODD2:ODN3 NTH2:NTR3 NJL2:NJV3 MZP2:MZZ3 MPT2:MQD3 MFX2:MGH3 LWB2:LWL3 LMF2:LMP3 LCJ2:LCT3 KSN2:KSX3 KIR2:KJB3 JYV2:JZF3 JOZ2:JPJ3 JFD2:JFN3 IVH2:IVR3 ILL2:ILV3 IBP2:IBZ3 HRT2:HSD3 HHX2:HIH3 GYB2:GYL3 GOF2:GOP3 GEJ2:GET3 FUN2:FUX3 FKR2:FLB3 FAV2:FBF3 EQZ2:ERJ3 EHD2:EHN3 DXH2:DXR3 DNL2:DNV3 DDP2:DDZ3 CTT2:CUD3 CJX2:CKH3 CAB2:CAL3 BQF2:BQP3 BGJ2:BGT3 AWN2:AWX3 AMR2:ANB3 ACV2:ADF3 SZ2:TJ3 JD2:JN3 H2:R3 WWJ2:WWJ4 WMN2:WMN4 WCR2:WCR4 VSV2:VSV4 VIZ2:VIZ4 UZD2:UZD4 UPH2:UPH4 UFL2:UFL4 TVP2:TVP4 TLT2:TLT4 TBX2:TBX4 SSB2:SSB4 SIF2:SIF4 RYJ2:RYJ4 RON2:RON4 RER2:RER4 QUV2:QUV4 QKZ2:QKZ4 QBD2:QBD4 PRH2:PRH4 PHL2:PHL4 OXP2:OXP4 ONT2:ONT4 ODX2:ODX4 NUB2:NUB4 NKF2:NKF4 NAJ2:NAJ4 MQN2:MQN4 MGR2:MGR4 LWV2:LWV4 LMZ2:LMZ4 LDD2:LDD4 KTH2:KTH4 KJL2:KJL4 JZP2:JZP4 JPT2:JPT4 JFX2:JFX4 IWB2:IWB4 IMF2:IMF4 ICJ2:ICJ4 HSN2:HSN4 HIR2:HIR4 GYV2:GYV4 GOZ2:GOZ4 GFD2:GFD4 FVH2:FVH4 FLL2:FLL4 FBP2:FBP4 ERT2:ERT4 EHX2:EHX4 DYB2:DYB4 DOF2:DOF4 DEJ2:DEJ4 CUN2:CUN4 CKR2:CKR4 CAV2:CAV4 BQZ2:BQZ4 BHD2:BHD4 AXH2:AXH4 ANL2:ANL4 ADP2:ADP4 TT2:TT4 JX2:JX4 AB2:AB4 WVM2:WVM6 WLQ2:WLQ6 WBU2:WBU6 VRY2:VRY6 VIC2:VIC6 UYG2:UYG6 UOK2:UOK6 UEO2:UEO6 TUS2:TUS6 TKW2:TKW6 TBA2:TBA6 SRE2:SRE6 SHI2:SHI6 RXM2:RXM6 RNQ2:RNQ6 RDU2:RDU6 QTY2:QTY6 QKC2:QKC6 QAG2:QAG6 PQK2:PQK6 PGO2:PGO6 OWS2:OWS6 OMW2:OMW6 ODA2:ODA6 NTE2:NTE6 NJI2:NJI6 MZM2:MZM6 MPQ2:MPQ6 MFU2:MFU6 LVY2:LVY6 LMC2:LMC6 LCG2:LCG6 KSK2:KSK6 KIO2:KIO6 JYS2:JYS6 JOW2:JOW6 JFA2:JFA6 IVE2:IVE6 ILI2:ILI6 IBM2:IBM6 HRQ2:HRQ6 HHU2:HHU6 GXY2:GXY6 GOC2:GOC6 GEG2:GEG6 FUK2:FUK6 FKO2:FKO6 FAS2:FAS6 EQW2:EQW6 EHA2:EHA6 DXE2:DXE6 DNI2:DNI6 DDM2:DDM6 CTQ2:CTQ6 CJU2:CJU6 BZY2:BZY6 BQC2:BQC6 BGG2:BGG6 AWK2:AWK6 AMO2:AMO6 ACS2:ACS6 SW2:SW6 JA2:JA6 WWA2:WWB4 WME2:WMF4 WCI2:WCJ4 VSM2:VSN4 VIQ2:VIR4 UYU2:UYV4 UOY2:UOZ4 UFC2:UFD4 TVG2:TVH4 TLK2:TLL4 TBO2:TBP4 SRS2:SRT4 SHW2:SHX4 RYA2:RYB4 ROE2:ROF4 REI2:REJ4 QUM2:QUN4 QKQ2:QKR4 QAU2:QAV4 PQY2:PQZ4 PHC2:PHD4 OXG2:OXH4 ONK2:ONL4 ODO2:ODP4 NTS2:NTT4 NJW2:NJX4 NAA2:NAB4 MQE2:MQF4 MGI2:MGJ4 LWM2:LWN4 LMQ2:LMR4 LCU2:LCV4 KSY2:KSZ4 KJC2:KJD4 JZG2:JZH4 JPK2:JPL4 JFO2:JFP4 IVS2:IVT4 ILW2:ILX4 ICA2:ICB4 HSE2:HSF4 HII2:HIJ4 GYM2:GYN4 GOQ2:GOR4 GEU2:GEV4 FUY2:FUZ4 FLC2:FLD4 FBG2:FBH4 ERK2:ERL4 EHO2:EHP4 DXS2:DXT4 DNW2:DNX4 DEA2:DEB4 CUE2:CUF4 CKI2:CKJ4 CAM2:CAN4 BQQ2:BQR4 BGU2:BGV4 AWY2:AWZ4 ANC2:AND4 ADG2:ADH4 TK2:TL4 JO2:JP4 S2:T4 WWC2:WWI3 WMG2:WMM3 WCK2:WCQ3 VSO2:VSU3 VIS2:VIY3 UYW2:UZC3 UPA2:UPG3 UFE2:UFK3 TVI2:TVO3 TLM2:TLS3 TBQ2:TBW3 SRU2:SSA3 SHY2:SIE3 RYC2:RYI3 ROG2:ROM3 REK2:REQ3 QUO2:QUU3 QKS2:QKY3 QAW2:QBC3 PRA2:PRG3 PHE2:PHK3 OXI2:OXO3 ONM2:ONS3 ODQ2:ODW3 NTU2:NUA3 NJY2:NKE3 NAC2:NAI3 MQG2:MQM3 MGK2:MGQ3 LWO2:LWU3 LMS2:LMY3 LCW2:LDC3 KTA2:KTG3 KJE2:KJK3 JZI2:JZO3 JPM2:JPS3 JFQ2:JFW3 IVU2:IWA3 ILY2:IME3 ICC2:ICI3 HSG2:HSM3 HIK2:HIQ3 GYO2:GYU3 GOS2:GOY3 GEW2:GFC3 FVA2:FVG3 FLE2:FLK3 FBI2:FBO3 ERM2:ERS3 EHQ2:EHW3 DXU2:DYA3 DNY2:DOE3 DEC2:DEI3 CUG2:CUM3 CKK2:CKQ3 CAO2:CAU3 BQS2:BQY3 BGW2:BHC3 AXA2:AXG3 ANE2:ANK3 ADI2:ADO3 TM2:TS3 JQ2:JW3 G1:AE1 E1:E8 G6:AE8 E16:E64 G16:AE64">
      <formula1>0</formula1>
      <formula2>0</formula2>
    </dataValidation>
    <dataValidation type="list" allowBlank="1" showErrorMessage="1" errorTitle="Atenção" error="Selecione uma opção da lista." sqref="B8:C8">
      <formula1>$F$15:$F$65</formula1>
    </dataValidation>
  </dataValidations>
  <pageMargins left="0.78740157480314998" right="0.78740157480314998" top="0.78740157480314998" bottom="0.78740157480314998" header="0.59055118110236204" footer="0.59055118110236204"/>
  <pageSetup paperSize="9" scale="46" firstPageNumber="0" orientation="landscape" horizontalDpi="300" verticalDpi="300" r:id="rId1"/>
  <headerFooter alignWithMargins="0">
    <oddHeader>&amp;L_&amp;C&amp;14I</oddHeader>
    <oddFooter>&amp;LPMv3.10&amp;R&amp;P /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9" filterMode="1"/>
  <dimension ref="A1:AG43"/>
  <sheetViews>
    <sheetView showGridLines="0" view="pageBreakPreview" zoomScale="90" zoomScaleNormal="100" zoomScaleSheetLayoutView="90" workbookViewId="0">
      <pane xSplit="20" ySplit="13" topLeftCell="U14" activePane="bottomRight" state="frozen"/>
      <selection pane="topRight" activeCell="T4" sqref="T4"/>
      <selection pane="bottomLeft" activeCell="F14" sqref="F14"/>
      <selection pane="bottomRight"/>
    </sheetView>
  </sheetViews>
  <sheetFormatPr defaultColWidth="9.140625" defaultRowHeight="12.75" x14ac:dyDescent="0.2"/>
  <cols>
    <col min="1" max="1" width="9.140625" style="187" hidden="1" customWidth="1"/>
    <col min="2" max="4" width="9.140625" style="186" hidden="1" customWidth="1"/>
    <col min="5" max="5" width="11" style="187" hidden="1" customWidth="1"/>
    <col min="6" max="6" width="19" style="186" hidden="1" customWidth="1"/>
    <col min="7" max="7" width="3.5703125" style="187" customWidth="1"/>
    <col min="8" max="8" width="12.5703125" style="186" customWidth="1"/>
    <col min="9" max="9" width="7.140625" style="187" customWidth="1"/>
    <col min="10" max="10" width="11.5703125" style="187" customWidth="1"/>
    <col min="11" max="11" width="12" style="187" customWidth="1"/>
    <col min="12" max="12" width="11" style="187" customWidth="1"/>
    <col min="13" max="18" width="9.140625" style="186" hidden="1" customWidth="1"/>
    <col min="19" max="19" width="11.42578125" style="188" customWidth="1"/>
    <col min="20" max="20" width="9.5703125" style="188" customWidth="1"/>
    <col min="21" max="32" width="11" style="187" customWidth="1"/>
    <col min="33" max="33" width="5.5703125" style="187" hidden="1" customWidth="1"/>
    <col min="34" max="16384" width="9.140625" style="187"/>
  </cols>
  <sheetData>
    <row r="1" spans="1:33" hidden="1" x14ac:dyDescent="0.2">
      <c r="A1" s="187" t="e">
        <f ca="1">IF($M1&gt;1,_xlfn.CONCAT($I1," ",$J1),"")</f>
        <v>#REF!</v>
      </c>
      <c r="B1" s="186" t="e">
        <f ca="1">OFFSET(B1,-3,0)+1</f>
        <v>#REF!</v>
      </c>
      <c r="C1" s="186" t="e">
        <f ca="1">IF($R1&lt;&gt;2,0,IF($S1=0,1,IF(F2&gt;0,OFFSET(QCI!$M$13,SUBSTITUTE(F2,".",""),0),OFFSET(ORÇAMENTO!$AA$15,CRONO!$F1,0))/$S1))</f>
        <v>#REF!</v>
      </c>
      <c r="D1" s="186" t="e">
        <f ca="1">IF($R1&lt;&gt;2,0,IF($S1=0,1,IF(F2&gt;0,OFFSET(QCI!$N$13,SUBSTITUTE(F2,".",""),0),OFFSET(ORÇAMENTO!$AB$15,CRONO!$F1,0))/$S1))</f>
        <v>#REF!</v>
      </c>
      <c r="E1" s="189" t="e" cm="1">
        <f t="array" aca="1" ref="E1" ca="1">IF(AND($R1=2,ACOMPANHAMENTO="BM"),ROUND(E2,4),E3/$S1)</f>
        <v>#REF!</v>
      </c>
      <c r="F1" s="186" t="e">
        <f ca="1">IF(B1&lt;=ORÇAMENTO.MáximoListaCrono,MATCH(B1,ORÇAMENTO.ListaCrono,0),NA())</f>
        <v>#REF!</v>
      </c>
      <c r="G1" s="186" t="e">
        <f ca="1">IF(AND($F2&lt;&gt;-1,$S1&gt;0),"F","")</f>
        <v>#REF!</v>
      </c>
      <c r="H1" s="190" t="e" cm="1">
        <f t="array" aca="1" ref="H1" ca="1">IF(OR(S1=0,S1=""),"Linha",IF(AND(OR(ACOMPANHAMENTO="PLE",$R1&lt;&gt;2),$F2=0),"Linha",ROUND(1-SUM(U1:AG1),4)))</f>
        <v>#REF!</v>
      </c>
      <c r="I1" s="191" t="e">
        <f ca="1">IF($F2=0,OFFSET(ORÇAMENTO!O$15,$F1,0),IF($F2&lt;&gt;-1,OFFSET(QCI!$D$13,$F2,0),""))</f>
        <v>#REF!</v>
      </c>
      <c r="J1" s="192" t="e">
        <f ca="1">IF($F2=0,OFFSET(ORÇAMENTO!R$15,$F1,0),IF($F2&lt;&gt;-1,OFFSET(QCI!$G$13,$F2,0),""))</f>
        <v>#REF!</v>
      </c>
      <c r="K1" s="192"/>
      <c r="L1" s="192"/>
      <c r="M1" s="193" t="e">
        <f ca="1">IF($F2=0,OFFSET(ORÇAMENTO!C$15,$F1,0),1)</f>
        <v>#REF!</v>
      </c>
      <c r="N1" s="194" t="e">
        <f ca="1">IF($F2=-1,0,IF(N$13&lt;=$M1,IF(ISERROR(MATCH(N$13,OFFSET($M1,1,0,ROW($M$26)-ROW($M1)-1),0)),ROW($M$26)-ROW($M1)-1,MATCH(N$13,OFFSET($M1,1,0,ROW($M$26)-ROW($M1)-1),0)-1),0))</f>
        <v>#REF!</v>
      </c>
      <c r="O1" s="194" t="e">
        <f ca="1">IF($F2=-1,0,IF(O$13&lt;=$M1,IF(ISERROR(MATCH(O$13,OFFSET($M1,1,0,ROW($M$26)-ROW($M1)-1),0)),ROW($M$26)-ROW($M1)-1,MATCH(O$13,OFFSET($M1,1,0,ROW($M$26)-ROW($M1)-1),0)-1),0))</f>
        <v>#REF!</v>
      </c>
      <c r="P1" s="194" t="e">
        <f ca="1">IF($F2=-1,0,IF(P$13&lt;=$M1,IF(ISERROR(MATCH(P$13,OFFSET($M1,1,0,ROW($M$26)-ROW($M1)-1),0)),ROW($M$26)-ROW($M1)-1,MATCH(P$13,OFFSET($M1,1,0,ROW($M$26)-ROW($M1)-1),0)-1),0))</f>
        <v>#REF!</v>
      </c>
      <c r="Q1" s="194" t="e">
        <f ca="1">IF($F2=-1,0,IF(Q$13&lt;=$M1,IF(ISERROR(MATCH(Q$13,OFFSET($M1,1,0,ROW($M$26)-ROW($M1)-1),0)),ROW($M$26)-ROW($M1)-1,MATCH(Q$13,OFFSET($M1,1,0,ROW($M$26)-ROW($M1)-1),0)-1),0))</f>
        <v>#REF!</v>
      </c>
      <c r="R1" s="194" t="e">
        <f ca="1">MIN(OFFSET(M1,0,1,,M1))</f>
        <v>#REF!</v>
      </c>
      <c r="S1" s="195" t="e">
        <f ca="1">IF($F2=0,OFFSET(ORÇAMENTO!X$15,$F1,0),IF($F2&lt;&gt;-1,OFFSET(QCI!$O$13,$F2,0),""))</f>
        <v>#REF!</v>
      </c>
      <c r="T1" s="196" t="s">
        <v>790</v>
      </c>
      <c r="U1" s="189" t="e" cm="1">
        <f t="array" aca="1" ref="U1" ca="1">IF(AND($R1=2,ACOMPANHAMENTO="BM"),ROUND(U2,4),U3/$S1)</f>
        <v>#REF!</v>
      </c>
      <c r="V1" s="189" t="e" cm="1">
        <f t="array" aca="1" ref="V1" ca="1">IF(AND($R1=2,ACOMPANHAMENTO="BM"),ROUND(V2,4),V3/$S1)</f>
        <v>#REF!</v>
      </c>
      <c r="W1" s="189" t="e" cm="1">
        <f t="array" aca="1" ref="W1" ca="1">IF(AND($R1=2,ACOMPANHAMENTO="BM"),ROUND(W2,4),W3/$S1)</f>
        <v>#REF!</v>
      </c>
      <c r="X1" s="189" t="e" cm="1">
        <f t="array" aca="1" ref="X1" ca="1">IF(AND($R1=2,ACOMPANHAMENTO="BM"),ROUND(X2,4),X3/$S1)</f>
        <v>#REF!</v>
      </c>
      <c r="Y1" s="189" t="e" cm="1">
        <f t="array" aca="1" ref="Y1" ca="1">IF(AND($R1=2,ACOMPANHAMENTO="BM"),ROUND(Y2,4),Y3/$S1)</f>
        <v>#REF!</v>
      </c>
      <c r="Z1" s="189" t="e" cm="1">
        <f t="array" aca="1" ref="Z1" ca="1">IF(AND($R1=2,ACOMPANHAMENTO="BM"),ROUND(Z2,4),Z3/$S1)</f>
        <v>#REF!</v>
      </c>
      <c r="AA1" s="189" t="e" cm="1">
        <f t="array" aca="1" ref="AA1" ca="1">IF(AND($R1=2,ACOMPANHAMENTO="BM"),ROUND(AA2,4),AA3/$S1)</f>
        <v>#REF!</v>
      </c>
      <c r="AB1" s="189" t="e" cm="1">
        <f t="array" aca="1" ref="AB1" ca="1">IF(AND($R1=2,ACOMPANHAMENTO="BM"),ROUND(AB2,4),AB3/$S1)</f>
        <v>#REF!</v>
      </c>
      <c r="AC1" s="189" t="e" cm="1">
        <f t="array" aca="1" ref="AC1" ca="1">IF(AND($R1=2,ACOMPANHAMENTO="BM"),ROUND(AC2,4),AC3/$S1)</f>
        <v>#REF!</v>
      </c>
      <c r="AD1" s="189" t="e" cm="1">
        <f t="array" aca="1" ref="AD1" ca="1">IF(AND($R1=2,ACOMPANHAMENTO="BM"),ROUND(AD2,4),AD3/$S1)</f>
        <v>#REF!</v>
      </c>
      <c r="AE1" s="189" t="e" cm="1">
        <f t="array" aca="1" ref="AE1" ca="1">IF(AND($R1=2,ACOMPANHAMENTO="BM"),ROUND(AE2,4),AE3/$S1)</f>
        <v>#REF!</v>
      </c>
      <c r="AF1" s="189" t="e" cm="1">
        <f t="array" aca="1" ref="AF1" ca="1">IF(AND($R1=2,ACOMPANHAMENTO="BM"),ROUND(AF2,4),AF3/$S1)</f>
        <v>#REF!</v>
      </c>
      <c r="AG1" s="535"/>
    </row>
    <row r="2" spans="1:33" ht="12.75" hidden="1" customHeight="1" x14ac:dyDescent="0.2">
      <c r="E2" s="594"/>
      <c r="F2" s="186" t="e">
        <f ca="1">IF(ISERROR(F1),IF(1+COUNTIF($M$13:OFFSET(M1,-1,0),1)&lt;=MAX(QCI!$D$13:$D$24),1+COUNTIF($M$13:OFFSET(M1,-1,0),1),-1),0)</f>
        <v>#REF!</v>
      </c>
      <c r="G2" s="186" t="e" cm="1">
        <f t="array" aca="1" ref="G2" ca="1">IF(ACOMPANHAMENTO="BM",OFFSET(G2,-1,0),"")</f>
        <v>#REF!</v>
      </c>
      <c r="H2" s="197" t="e" cm="1">
        <f t="array" aca="1" ref="H2" ca="1">IF(OR(S1=0,S1=""),"vazia",IF(AND(OR(ACOMPANHAMENTO="PLE",$R1&lt;&gt;2),$F2=0),"calculada","--&gt;"))</f>
        <v>#REF!</v>
      </c>
      <c r="I2" s="198"/>
      <c r="J2" s="199" t="e">
        <f ca="1">IF(AND(H1&lt;&gt;0,ISNUMBER(H1)),"PREENCHA ESTA LINHA --&gt;","")</f>
        <v>#REF!</v>
      </c>
      <c r="K2" s="199"/>
      <c r="L2" s="199"/>
      <c r="M2" s="200"/>
      <c r="N2" s="200"/>
      <c r="O2" s="200"/>
      <c r="P2" s="200"/>
      <c r="Q2" s="200"/>
      <c r="R2" s="200"/>
      <c r="S2" s="201"/>
      <c r="T2" s="202"/>
      <c r="U2" s="594"/>
      <c r="V2" s="594"/>
      <c r="W2" s="594"/>
      <c r="X2" s="594"/>
      <c r="Y2" s="594"/>
      <c r="Z2" s="594"/>
      <c r="AA2" s="594"/>
      <c r="AB2" s="594"/>
      <c r="AC2" s="594"/>
      <c r="AD2" s="594"/>
      <c r="AE2" s="594"/>
      <c r="AF2" s="594"/>
      <c r="AG2" s="535"/>
    </row>
    <row r="3" spans="1:33" ht="12.75" hidden="1" customHeight="1" x14ac:dyDescent="0.2">
      <c r="D3" s="534"/>
      <c r="E3" s="203" t="e" cm="1">
        <f t="array" aca="1" ref="E3" ca="1">IF($R1=2,
         IF(AND(ACOMPANHAMENTO="PLE",ISNUMBER($F1)),
                SUMIF((OFFSET(CÁLCULO!$AM$15:$AW$15,$F1,0,OFFSET(ORÇAMENTO!$D$15,CRONO!$F1,0))),CRONO!E$12,OFFSET(CÁLCULO!$AB$15:$AL$15,$F1,0,OFFSET(ORÇAMENTO!$D$15,CRONO!$F1,0)))
                +IF(AND($F3&lt;&gt;"",$F3&lt;&gt;0),
                        SUMIF(CÁLCULO!$AM$15:$AW$27,CRONO!E$12,CÁLCULO!$AB$15:$AL$27)/(ORÇAMENTO!$X$15-_xlfn.SINGLE(CÁLCULO.TotalAdmLocal))*CRONO!$F3,
                        0),
                 E2*$S1),
          SUMIF(OFFSET($S3,1,0,$R1-2),($M1+1)&amp;"$",OFFSET(E3,1,0,$R1-2)))</f>
        <v>#REF!</v>
      </c>
      <c r="F3" s="186" t="e">
        <f ca="1">IF(OR($R1&lt;&gt;2,AUTOEVENTO&lt;&gt;"manual",$F2&gt;0),"",
        IF(Import.TipoArredondamento="Tradicional",
              SUMIF(OFFSET(CÁLCULO!$M$15,CRONO!$F1,0,OFFSET(ORÇAMENTO!$D$15,CRONO!$F1,0)),1,OFFSET(ORÇAMENTO!$X$15,CRONO!$F1,0,OFFSET(ORÇAMENTO!$D$15,CRONO!$F1,0))),
              0))</f>
        <v>#REF!</v>
      </c>
      <c r="H3" s="204"/>
      <c r="S3" s="205" t="e">
        <f ca="1">M1&amp;"$"</f>
        <v>#REF!</v>
      </c>
      <c r="T3" s="206"/>
      <c r="U3" s="203" t="e" cm="1">
        <f t="array" aca="1" ref="U3" ca="1">IF($R1=2,
         IF(AND(ACOMPANHAMENTO="PLE",ISNUMBER($F1)),
                SUMIF((OFFSET(CÁLCULO!$AM$15:$AW$15,$F1,0,OFFSET(ORÇAMENTO!$D$15,CRONO!$F1,0))),CRONO!U$12,OFFSET(CÁLCULO!$AB$15:$AL$15,$F1,0,OFFSET(ORÇAMENTO!$D$15,CRONO!$F1,0)))
                +IF(AND($F3&lt;&gt;"",$F3&lt;&gt;0),
                        SUMIF(CÁLCULO!$AM$15:$AW$27,CRONO!U$12,CÁLCULO!$AB$15:$AL$27)/(ORÇAMENTO!$X$15-_xlfn.SINGLE(CÁLCULO.TotalAdmLocal))*CRONO!$F3,
                        0),
                 U2*$S1),
          SUMIF(OFFSET($S3,1,0,$R1-2),($M1+1)&amp;"$",OFFSET(U3,1,0,$R1-2)))</f>
        <v>#REF!</v>
      </c>
      <c r="V3" s="203" t="e" cm="1">
        <f t="array" aca="1" ref="V3" ca="1">IF($R1=2,
         IF(AND(ACOMPANHAMENTO="PLE",ISNUMBER($F1)),
                SUMIF((OFFSET(CÁLCULO!$AM$15:$AW$15,$F1,0,OFFSET(ORÇAMENTO!$D$15,CRONO!$F1,0))),CRONO!V$12,OFFSET(CÁLCULO!$AB$15:$AL$15,$F1,0,OFFSET(ORÇAMENTO!$D$15,CRONO!$F1,0)))
                +IF(AND($F3&lt;&gt;"",$F3&lt;&gt;0),
                        SUMIF(CÁLCULO!$AM$15:$AW$27,CRONO!V$12,CÁLCULO!$AB$15:$AL$27)/(ORÇAMENTO!$X$15-_xlfn.SINGLE(CÁLCULO.TotalAdmLocal))*CRONO!$F3,
                        0),
                 V2*$S1),
          SUMIF(OFFSET($S3,1,0,$R1-2),($M1+1)&amp;"$",OFFSET(V3,1,0,$R1-2)))</f>
        <v>#REF!</v>
      </c>
      <c r="W3" s="203" t="e" cm="1">
        <f t="array" aca="1" ref="W3" ca="1">IF($R1=2,
         IF(AND(ACOMPANHAMENTO="PLE",ISNUMBER($F1)),
                SUMIF((OFFSET(CÁLCULO!$AM$15:$AW$15,$F1,0,OFFSET(ORÇAMENTO!$D$15,CRONO!$F1,0))),CRONO!W$12,OFFSET(CÁLCULO!$AB$15:$AL$15,$F1,0,OFFSET(ORÇAMENTO!$D$15,CRONO!$F1,0)))
                +IF(AND($F3&lt;&gt;"",$F3&lt;&gt;0),
                        SUMIF(CÁLCULO!$AM$15:$AW$27,CRONO!W$12,CÁLCULO!$AB$15:$AL$27)/(ORÇAMENTO!$X$15-_xlfn.SINGLE(CÁLCULO.TotalAdmLocal))*CRONO!$F3,
                        0),
                 W2*$S1),
          SUMIF(OFFSET($S3,1,0,$R1-2),($M1+1)&amp;"$",OFFSET(W3,1,0,$R1-2)))</f>
        <v>#REF!</v>
      </c>
      <c r="X3" s="203" t="e" cm="1">
        <f t="array" aca="1" ref="X3" ca="1">IF($R1=2,
         IF(AND(ACOMPANHAMENTO="PLE",ISNUMBER($F1)),
                SUMIF((OFFSET(CÁLCULO!$AM$15:$AW$15,$F1,0,OFFSET(ORÇAMENTO!$D$15,CRONO!$F1,0))),CRONO!X$12,OFFSET(CÁLCULO!$AB$15:$AL$15,$F1,0,OFFSET(ORÇAMENTO!$D$15,CRONO!$F1,0)))
                +IF(AND($F3&lt;&gt;"",$F3&lt;&gt;0),
                        SUMIF(CÁLCULO!$AM$15:$AW$27,CRONO!X$12,CÁLCULO!$AB$15:$AL$27)/(ORÇAMENTO!$X$15-_xlfn.SINGLE(CÁLCULO.TotalAdmLocal))*CRONO!$F3,
                        0),
                 X2*$S1),
          SUMIF(OFFSET($S3,1,0,$R1-2),($M1+1)&amp;"$",OFFSET(X3,1,0,$R1-2)))</f>
        <v>#REF!</v>
      </c>
      <c r="Y3" s="203" t="e" cm="1">
        <f t="array" aca="1" ref="Y3" ca="1">IF($R1=2,
         IF(AND(ACOMPANHAMENTO="PLE",ISNUMBER($F1)),
                SUMIF((OFFSET(CÁLCULO!$AM$15:$AW$15,$F1,0,OFFSET(ORÇAMENTO!$D$15,CRONO!$F1,0))),CRONO!Y$12,OFFSET(CÁLCULO!$AB$15:$AL$15,$F1,0,OFFSET(ORÇAMENTO!$D$15,CRONO!$F1,0)))
                +IF(AND($F3&lt;&gt;"",$F3&lt;&gt;0),
                        SUMIF(CÁLCULO!$AM$15:$AW$27,CRONO!Y$12,CÁLCULO!$AB$15:$AL$27)/(ORÇAMENTO!$X$15-_xlfn.SINGLE(CÁLCULO.TotalAdmLocal))*CRONO!$F3,
                        0),
                 Y2*$S1),
          SUMIF(OFFSET($S3,1,0,$R1-2),($M1+1)&amp;"$",OFFSET(Y3,1,0,$R1-2)))</f>
        <v>#REF!</v>
      </c>
      <c r="Z3" s="203" t="e" cm="1">
        <f t="array" aca="1" ref="Z3" ca="1">IF($R1=2,
         IF(AND(ACOMPANHAMENTO="PLE",ISNUMBER($F1)),
                SUMIF((OFFSET(CÁLCULO!$AM$15:$AW$15,$F1,0,OFFSET(ORÇAMENTO!$D$15,CRONO!$F1,0))),CRONO!Z$12,OFFSET(CÁLCULO!$AB$15:$AL$15,$F1,0,OFFSET(ORÇAMENTO!$D$15,CRONO!$F1,0)))
                +IF(AND($F3&lt;&gt;"",$F3&lt;&gt;0),
                        SUMIF(CÁLCULO!$AM$15:$AW$27,CRONO!Z$12,CÁLCULO!$AB$15:$AL$27)/(ORÇAMENTO!$X$15-_xlfn.SINGLE(CÁLCULO.TotalAdmLocal))*CRONO!$F3,
                        0),
                 Z2*$S1),
          SUMIF(OFFSET($S3,1,0,$R1-2),($M1+1)&amp;"$",OFFSET(Z3,1,0,$R1-2)))</f>
        <v>#REF!</v>
      </c>
      <c r="AA3" s="203" t="e" cm="1">
        <f t="array" aca="1" ref="AA3" ca="1">IF($R1=2,
         IF(AND(ACOMPANHAMENTO="PLE",ISNUMBER($F1)),
                SUMIF((OFFSET(CÁLCULO!$AM$15:$AW$15,$F1,0,OFFSET(ORÇAMENTO!$D$15,CRONO!$F1,0))),CRONO!AA$12,OFFSET(CÁLCULO!$AB$15:$AL$15,$F1,0,OFFSET(ORÇAMENTO!$D$15,CRONO!$F1,0)))
                +IF(AND($F3&lt;&gt;"",$F3&lt;&gt;0),
                        SUMIF(CÁLCULO!$AM$15:$AW$27,CRONO!AA$12,CÁLCULO!$AB$15:$AL$27)/(ORÇAMENTO!$X$15-_xlfn.SINGLE(CÁLCULO.TotalAdmLocal))*CRONO!$F3,
                        0),
                 AA2*$S1),
          SUMIF(OFFSET($S3,1,0,$R1-2),($M1+1)&amp;"$",OFFSET(AA3,1,0,$R1-2)))</f>
        <v>#REF!</v>
      </c>
      <c r="AB3" s="203" t="e" cm="1">
        <f t="array" aca="1" ref="AB3" ca="1">IF($R1=2,
         IF(AND(ACOMPANHAMENTO="PLE",ISNUMBER($F1)),
                SUMIF((OFFSET(CÁLCULO!$AM$15:$AW$15,$F1,0,OFFSET(ORÇAMENTO!$D$15,CRONO!$F1,0))),CRONO!AB$12,OFFSET(CÁLCULO!$AB$15:$AL$15,$F1,0,OFFSET(ORÇAMENTO!$D$15,CRONO!$F1,0)))
                +IF(AND($F3&lt;&gt;"",$F3&lt;&gt;0),
                        SUMIF(CÁLCULO!$AM$15:$AW$27,CRONO!AB$12,CÁLCULO!$AB$15:$AL$27)/(ORÇAMENTO!$X$15-_xlfn.SINGLE(CÁLCULO.TotalAdmLocal))*CRONO!$F3,
                        0),
                 AB2*$S1),
          SUMIF(OFFSET($S3,1,0,$R1-2),($M1+1)&amp;"$",OFFSET(AB3,1,0,$R1-2)))</f>
        <v>#REF!</v>
      </c>
      <c r="AC3" s="203" t="e" cm="1">
        <f t="array" aca="1" ref="AC3" ca="1">IF($R1=2,
         IF(AND(ACOMPANHAMENTO="PLE",ISNUMBER($F1)),
                SUMIF((OFFSET(CÁLCULO!$AM$15:$AW$15,$F1,0,OFFSET(ORÇAMENTO!$D$15,CRONO!$F1,0))),CRONO!AC$12,OFFSET(CÁLCULO!$AB$15:$AL$15,$F1,0,OFFSET(ORÇAMENTO!$D$15,CRONO!$F1,0)))
                +IF(AND($F3&lt;&gt;"",$F3&lt;&gt;0),
                        SUMIF(CÁLCULO!$AM$15:$AW$27,CRONO!AC$12,CÁLCULO!$AB$15:$AL$27)/(ORÇAMENTO!$X$15-_xlfn.SINGLE(CÁLCULO.TotalAdmLocal))*CRONO!$F3,
                        0),
                 AC2*$S1),
          SUMIF(OFFSET($S3,1,0,$R1-2),($M1+1)&amp;"$",OFFSET(AC3,1,0,$R1-2)))</f>
        <v>#REF!</v>
      </c>
      <c r="AD3" s="203" t="e" cm="1">
        <f t="array" aca="1" ref="AD3" ca="1">IF($R1=2,
         IF(AND(ACOMPANHAMENTO="PLE",ISNUMBER($F1)),
                SUMIF((OFFSET(CÁLCULO!$AM$15:$AW$15,$F1,0,OFFSET(ORÇAMENTO!$D$15,CRONO!$F1,0))),CRONO!AD$12,OFFSET(CÁLCULO!$AB$15:$AL$15,$F1,0,OFFSET(ORÇAMENTO!$D$15,CRONO!$F1,0)))
                +IF(AND($F3&lt;&gt;"",$F3&lt;&gt;0),
                        SUMIF(CÁLCULO!$AM$15:$AW$27,CRONO!AD$12,CÁLCULO!$AB$15:$AL$27)/(ORÇAMENTO!$X$15-_xlfn.SINGLE(CÁLCULO.TotalAdmLocal))*CRONO!$F3,
                        0),
                 AD2*$S1),
          SUMIF(OFFSET($S3,1,0,$R1-2),($M1+1)&amp;"$",OFFSET(AD3,1,0,$R1-2)))</f>
        <v>#REF!</v>
      </c>
      <c r="AE3" s="203" t="e" cm="1">
        <f t="array" aca="1" ref="AE3" ca="1">IF($R1=2,
         IF(AND(ACOMPANHAMENTO="PLE",ISNUMBER($F1)),
                SUMIF((OFFSET(CÁLCULO!$AM$15:$AW$15,$F1,0,OFFSET(ORÇAMENTO!$D$15,CRONO!$F1,0))),CRONO!AE$12,OFFSET(CÁLCULO!$AB$15:$AL$15,$F1,0,OFFSET(ORÇAMENTO!$D$15,CRONO!$F1,0)))
                +IF(AND($F3&lt;&gt;"",$F3&lt;&gt;0),
                        SUMIF(CÁLCULO!$AM$15:$AW$27,CRONO!AE$12,CÁLCULO!$AB$15:$AL$27)/(ORÇAMENTO!$X$15-_xlfn.SINGLE(CÁLCULO.TotalAdmLocal))*CRONO!$F3,
                        0),
                 AE2*$S1),
          SUMIF(OFFSET($S3,1,0,$R1-2),($M1+1)&amp;"$",OFFSET(AE3,1,0,$R1-2)))</f>
        <v>#REF!</v>
      </c>
      <c r="AF3" s="203" t="e" cm="1">
        <f t="array" aca="1" ref="AF3" ca="1">IF($R1=2,
         IF(AND(ACOMPANHAMENTO="PLE",ISNUMBER($F1)),
                SUMIF((OFFSET(CÁLCULO!$AM$15:$AW$15,$F1,0,OFFSET(ORÇAMENTO!$D$15,CRONO!$F1,0))),CRONO!AF$12,OFFSET(CÁLCULO!$AB$15:$AL$15,$F1,0,OFFSET(ORÇAMENTO!$D$15,CRONO!$F1,0)))
                +IF(AND($F3&lt;&gt;"",$F3&lt;&gt;0),
                        SUMIF(CÁLCULO!$AM$15:$AW$27,CRONO!AF$12,CÁLCULO!$AB$15:$AL$27)/(ORÇAMENTO!$X$15-_xlfn.SINGLE(CÁLCULO.TotalAdmLocal))*CRONO!$F3,
                        0),
                 AF2*$S1),
          SUMIF(OFFSET($S3,1,0,$R1-2),($M1+1)&amp;"$",OFFSET(AF3,1,0,$R1-2)))</f>
        <v>#REF!</v>
      </c>
      <c r="AG3" s="535"/>
    </row>
    <row r="4" spans="1:33" ht="15" customHeight="1" x14ac:dyDescent="0.25">
      <c r="S4" s="207" t="str">
        <f>IF(TIPOORCAMENTO="licitado","CFF - CRONOGRAMA FÍSICO-FINANCEIRO LICITADO","CFF - CRONOGRAMA FÍSICO-FINANCEIRO")</f>
        <v>CFF - CRONOGRAMA FÍSICO-FINANCEIRO</v>
      </c>
      <c r="AE4" s="694" t="s">
        <v>646</v>
      </c>
      <c r="AF4" s="694"/>
    </row>
    <row r="5" spans="1:33" ht="15" x14ac:dyDescent="0.2">
      <c r="S5" s="83" t="str">
        <f>import.recurso</f>
        <v>(SELECIONAR)</v>
      </c>
      <c r="AE5" s="695" t="s">
        <v>649</v>
      </c>
      <c r="AF5" s="695"/>
    </row>
    <row r="6" spans="1:33" ht="12.75" customHeight="1" x14ac:dyDescent="0.2"/>
    <row r="7" spans="1:33" ht="12.75" customHeight="1" x14ac:dyDescent="0.2">
      <c r="F7" s="208"/>
      <c r="H7" s="760" t="s">
        <v>791</v>
      </c>
      <c r="I7" s="209" t="s">
        <v>652</v>
      </c>
      <c r="J7" s="210"/>
      <c r="K7" s="211" t="s">
        <v>792</v>
      </c>
      <c r="L7" s="212" t="s">
        <v>793</v>
      </c>
      <c r="M7" s="187"/>
      <c r="N7" s="187"/>
      <c r="O7" s="187"/>
      <c r="T7" s="213"/>
      <c r="U7" s="209" t="s">
        <v>761</v>
      </c>
      <c r="Y7" s="210"/>
      <c r="Z7" s="209" t="str">
        <f>IF(TIPOORCAMENTO="Licitado","NOME DA EMPRESA","DESCRIÇÃO DO LOTE")</f>
        <v>DESCRIÇÃO DO LOTE</v>
      </c>
      <c r="AF7" s="214" t="str">
        <f>IF(TIPOORCAMENTO="Licitado","Nº CTEF","")</f>
        <v/>
      </c>
    </row>
    <row r="8" spans="1:33" x14ac:dyDescent="0.2">
      <c r="E8" s="186"/>
      <c r="F8" s="115"/>
      <c r="G8" s="682" t="s">
        <v>657</v>
      </c>
      <c r="H8" s="760"/>
      <c r="I8" s="751">
        <f>Import.CR</f>
        <v>0</v>
      </c>
      <c r="J8" s="751"/>
      <c r="K8" s="215">
        <f>Import.TransfereGOV</f>
        <v>0</v>
      </c>
      <c r="L8" s="750" t="str">
        <f>Import.Proponente</f>
        <v>PREFEITURA MUNICIPAL</v>
      </c>
      <c r="M8" s="750"/>
      <c r="N8" s="750"/>
      <c r="O8" s="750"/>
      <c r="P8" s="750"/>
      <c r="Q8" s="750"/>
      <c r="R8" s="750"/>
      <c r="S8" s="750"/>
      <c r="T8" s="750"/>
      <c r="U8" s="751" t="str">
        <f>Import.Apelido</f>
        <v>COBERTURA DE QUADRA</v>
      </c>
      <c r="V8" s="751"/>
      <c r="W8" s="751"/>
      <c r="X8" s="751"/>
      <c r="Y8" s="751"/>
      <c r="Z8" s="761" t="str">
        <f>IF(TIPOORCAMENTO="Licitado",Import.empresa,Import.DescLote)</f>
        <v>COBERTURA DE QUADRA</v>
      </c>
      <c r="AA8" s="761"/>
      <c r="AB8" s="761"/>
      <c r="AC8" s="761"/>
      <c r="AD8" s="761"/>
      <c r="AE8" s="761"/>
      <c r="AF8" s="204" t="str">
        <f>IF(TIPOORCAMENTO="Licitado",Import.CTEF,"")</f>
        <v/>
      </c>
    </row>
    <row r="9" spans="1:33" x14ac:dyDescent="0.2">
      <c r="F9" s="115"/>
      <c r="G9" s="682"/>
      <c r="H9" s="760"/>
    </row>
    <row r="10" spans="1:33" x14ac:dyDescent="0.2">
      <c r="F10" s="186" cm="1">
        <f t="array" aca="1" ref="F10" ca="1">CRONO.LinhasNecessarias</f>
        <v>4</v>
      </c>
      <c r="G10" s="682"/>
      <c r="H10" s="216">
        <v>2</v>
      </c>
      <c r="K10" s="752" t="str" cm="1">
        <f t="array" aca="1" ref="K10" ca="1">IF(MAX($B$13:$B$26)&lt;CRONO.LinhasNecessarias,"ERRO: NÚMERO DE LINHAS DO CRONOGRAMA INSUFICIENTE. CLIQUE EM ATUALIZAR LINHAS.",IF(AND(ACOMPANHAMENTO="PLE",ROUND(OFFSET($AG$36,0,-1),2)=0),"CRONOGRAMA DEVE SER PREENCHIDO POR EVENTOS",IF(ROUND(OFFSET($AG$36,0,-1),2)&lt;&gt;$R$27,"ERRO: CRONOGRAMA NÃO FECHA 100%","")))</f>
        <v/>
      </c>
      <c r="L10" s="752"/>
      <c r="M10" s="752"/>
      <c r="N10" s="752"/>
      <c r="O10" s="752"/>
      <c r="P10" s="752"/>
      <c r="Q10" s="752"/>
      <c r="R10" s="752"/>
      <c r="S10" s="752"/>
      <c r="T10" s="752"/>
    </row>
    <row r="11" spans="1:33" ht="12.75" customHeight="1" x14ac:dyDescent="0.2">
      <c r="F11" s="186" t="e" cm="1">
        <f t="array" aca="1" ref="F11" ca="1">CRONO.ParcelaFinal</f>
        <v>#N/A</v>
      </c>
      <c r="G11" s="682"/>
      <c r="I11" s="217"/>
      <c r="J11" s="217"/>
      <c r="K11" s="752"/>
      <c r="L11" s="752"/>
      <c r="M11" s="752"/>
      <c r="N11" s="752"/>
      <c r="O11" s="752"/>
      <c r="P11" s="752"/>
      <c r="Q11" s="752"/>
      <c r="R11" s="752"/>
      <c r="S11" s="752"/>
      <c r="T11" s="752"/>
    </row>
    <row r="12" spans="1:33" ht="12.75" customHeight="1" x14ac:dyDescent="0.2">
      <c r="A12" s="187" t="s">
        <v>794</v>
      </c>
      <c r="E12" s="218">
        <f ca="1">OFFSET(E12,0,-1)+1</f>
        <v>1</v>
      </c>
      <c r="G12" s="107" t="s">
        <v>662</v>
      </c>
      <c r="H12" s="754" t="s">
        <v>795</v>
      </c>
      <c r="I12" s="755" t="s">
        <v>738</v>
      </c>
      <c r="J12" s="756" t="s">
        <v>119</v>
      </c>
      <c r="K12" s="219"/>
      <c r="L12" s="219"/>
      <c r="M12" s="220"/>
      <c r="N12" s="220"/>
      <c r="O12" s="220"/>
      <c r="P12" s="220"/>
      <c r="Q12" s="220"/>
      <c r="R12" s="220"/>
      <c r="S12" s="759" t="s">
        <v>796</v>
      </c>
      <c r="T12" s="749" t="s">
        <v>797</v>
      </c>
      <c r="U12" s="221">
        <v>1</v>
      </c>
      <c r="V12" s="218">
        <f ca="1">OFFSET(V12,0,-1)+1</f>
        <v>2</v>
      </c>
      <c r="W12" s="218">
        <f t="shared" ref="W12:AF12" ca="1" si="0">OFFSET(W12,0,-1)+1</f>
        <v>3</v>
      </c>
      <c r="X12" s="218">
        <f t="shared" ca="1" si="0"/>
        <v>4</v>
      </c>
      <c r="Y12" s="218">
        <f t="shared" ca="1" si="0"/>
        <v>5</v>
      </c>
      <c r="Z12" s="218">
        <f t="shared" ca="1" si="0"/>
        <v>6</v>
      </c>
      <c r="AA12" s="218">
        <f t="shared" ca="1" si="0"/>
        <v>7</v>
      </c>
      <c r="AB12" s="218">
        <f t="shared" ca="1" si="0"/>
        <v>8</v>
      </c>
      <c r="AC12" s="218">
        <f t="shared" ca="1" si="0"/>
        <v>9</v>
      </c>
      <c r="AD12" s="218">
        <f t="shared" ca="1" si="0"/>
        <v>10</v>
      </c>
      <c r="AE12" s="218">
        <f t="shared" ca="1" si="0"/>
        <v>11</v>
      </c>
      <c r="AF12" s="538">
        <f t="shared" ca="1" si="0"/>
        <v>12</v>
      </c>
      <c r="AG12" s="535"/>
    </row>
    <row r="13" spans="1:33" ht="24.95" customHeight="1" x14ac:dyDescent="0.2">
      <c r="B13" s="222" t="s">
        <v>798</v>
      </c>
      <c r="C13" s="222" t="s">
        <v>458</v>
      </c>
      <c r="D13" s="222" t="s">
        <v>799</v>
      </c>
      <c r="E13" s="223" t="e">
        <f ca="1">OFFSET(E13,0,-1)+41-DAY(OFFSET(E13,0,-1)+40)</f>
        <v>#VALUE!</v>
      </c>
      <c r="F13" s="222" t="s">
        <v>800</v>
      </c>
      <c r="H13" s="754"/>
      <c r="I13" s="755"/>
      <c r="J13" s="756"/>
      <c r="K13" s="224"/>
      <c r="L13" s="224"/>
      <c r="M13" s="225" t="s">
        <v>736</v>
      </c>
      <c r="N13" s="225">
        <v>1</v>
      </c>
      <c r="O13" s="225">
        <v>2</v>
      </c>
      <c r="P13" s="225">
        <v>3</v>
      </c>
      <c r="Q13" s="225">
        <v>4</v>
      </c>
      <c r="R13" s="226" t="s">
        <v>801</v>
      </c>
      <c r="S13" s="759"/>
      <c r="T13" s="749"/>
      <c r="U13" s="227">
        <v>45901</v>
      </c>
      <c r="V13" s="223">
        <f ca="1">OFFSET(V13,0,-1)+41-DAY(OFFSET(V13,0,-1)+40)</f>
        <v>45931</v>
      </c>
      <c r="W13" s="223">
        <f ca="1">OFFSET(W13,0,-1)+41-DAY(OFFSET(W13,0,-1)+40)</f>
        <v>45962</v>
      </c>
      <c r="X13" s="223">
        <f t="shared" ref="X13:AF13" ca="1" si="1">OFFSET(X13,0,-1)+41-DAY(OFFSET(X13,0,-1)+40)</f>
        <v>45992</v>
      </c>
      <c r="Y13" s="223">
        <f t="shared" ca="1" si="1"/>
        <v>46023</v>
      </c>
      <c r="Z13" s="223">
        <f t="shared" ca="1" si="1"/>
        <v>46054</v>
      </c>
      <c r="AA13" s="223">
        <f t="shared" ca="1" si="1"/>
        <v>46082</v>
      </c>
      <c r="AB13" s="223">
        <f t="shared" ca="1" si="1"/>
        <v>46113</v>
      </c>
      <c r="AC13" s="223">
        <f t="shared" ca="1" si="1"/>
        <v>46143</v>
      </c>
      <c r="AD13" s="223">
        <f t="shared" ca="1" si="1"/>
        <v>46174</v>
      </c>
      <c r="AE13" s="223">
        <f t="shared" ca="1" si="1"/>
        <v>46204</v>
      </c>
      <c r="AF13" s="539">
        <f t="shared" ca="1" si="1"/>
        <v>46235</v>
      </c>
      <c r="AG13" s="535"/>
    </row>
    <row r="14" spans="1:33" x14ac:dyDescent="0.2">
      <c r="A14" s="187" t="str">
        <f t="shared" ref="A14" ca="1" si="2">IF($M14&gt;1,_xlfn.CONCAT($I14," ",$J14),"")</f>
        <v/>
      </c>
      <c r="B14" s="186">
        <f t="shared" ref="B14" ca="1" si="3">OFFSET(B14,-3,0)+1</f>
        <v>1</v>
      </c>
      <c r="C14" s="186">
        <f ca="1">IF($R14&lt;&gt;2,0,IF($S14=0,1,IF(F15&gt;0,OFFSET(QCI!$M$13,SUBSTITUTE(F15,".",""),0),OFFSET(ORÇAMENTO!$AA$15,CRONO!$F14,0))/$S14))</f>
        <v>0</v>
      </c>
      <c r="D14" s="186">
        <f ca="1">IF($R14&lt;&gt;2,0,IF($S14=0,1,IF(F15&gt;0,OFFSET(QCI!$N$13,SUBSTITUTE(F15,".",""),0),OFFSET(ORÇAMENTO!$AB$15,CRONO!$F14,0))/$S14))</f>
        <v>0</v>
      </c>
      <c r="E14" s="189" t="e" cm="1">
        <f t="array" aca="1" ref="E14" ca="1">IF(AND($R14=2,ACOMPANHAMENTO="BM"),ROUND(E15,4),E16/$S14)</f>
        <v>#DIV/0!</v>
      </c>
      <c r="F14" s="186">
        <f ca="1">IF(B14&lt;=ORÇAMENTO.MáximoListaCrono,MATCH(B14,ORÇAMENTO.ListaCrono,0),NA())</f>
        <v>1</v>
      </c>
      <c r="G14" s="186" t="str">
        <f t="shared" ref="G14" ca="1" si="4">IF(AND($F15&lt;&gt;-1,$S14&gt;0),"F","")</f>
        <v/>
      </c>
      <c r="H14" s="190" t="str" cm="1">
        <f t="array" aca="1" ref="H14" ca="1">IF(OR(S14=0,S14=""),"Linha",IF(AND(OR(ACOMPANHAMENTO="PLE",$R14&lt;&gt;2),$F15=0),"Linha",ROUND(1-SUM(U14:AG14),4)))</f>
        <v>Linha</v>
      </c>
      <c r="I14" s="191" t="str">
        <f ca="1">IF($F15=0,OFFSET(ORÇAMENTO!O$15,$F14,0),IF($F15&lt;&gt;-1,OFFSET(QCI!$D$13,$F15,0),""))</f>
        <v>1.</v>
      </c>
      <c r="J14" s="192" t="str">
        <f ca="1">IF($F15=0,OFFSET(ORÇAMENTO!R$15,$F14,0),IF($F15&lt;&gt;-1,OFFSET(QCI!$G$13,$F15,0),""))</f>
        <v>COBERTURA DE QUADRA - EMEI IRACEMA CIDADE</v>
      </c>
      <c r="K14" s="192"/>
      <c r="L14" s="192"/>
      <c r="M14" s="193">
        <f ca="1">IF($F15=0,OFFSET(ORÇAMENTO!C$15,$F14,0),1)</f>
        <v>1</v>
      </c>
      <c r="N14" s="194">
        <f ca="1">IF($F15=-1,0,IF(N$13&lt;=$M14,IF(ISERROR(MATCH(N$13,OFFSET($M14,1,0,ROW($M$26)-ROW($M14)-1),0)),ROW($M$26)-ROW($M14)-1,MATCH(N$13,OFFSET($M14,1,0,ROW($M$26)-ROW($M14)-1),0)-1),0))</f>
        <v>11</v>
      </c>
      <c r="O14" s="194">
        <f ca="1">IF($F15=-1,0,IF(O$13&lt;=$M14,IF(ISERROR(MATCH(O$13,OFFSET($M14,1,0,ROW($M$26)-ROW($M14)-1),0)),ROW($M$26)-ROW($M14)-1,MATCH(O$13,OFFSET($M14,1,0,ROW($M$26)-ROW($M14)-1),0)-1),0))</f>
        <v>0</v>
      </c>
      <c r="P14" s="194">
        <f ca="1">IF($F15=-1,0,IF(P$13&lt;=$M14,IF(ISERROR(MATCH(P$13,OFFSET($M14,1,0,ROW($M$26)-ROW($M14)-1),0)),ROW($M$26)-ROW($M14)-1,MATCH(P$13,OFFSET($M14,1,0,ROW($M$26)-ROW($M14)-1),0)-1),0))</f>
        <v>0</v>
      </c>
      <c r="Q14" s="194">
        <f ca="1">IF($F15=-1,0,IF(Q$13&lt;=$M14,IF(ISERROR(MATCH(Q$13,OFFSET($M14,1,0,ROW($M$26)-ROW($M14)-1),0)),ROW($M$26)-ROW($M14)-1,MATCH(Q$13,OFFSET($M14,1,0,ROW($M$26)-ROW($M14)-1),0)-1),0))</f>
        <v>0</v>
      </c>
      <c r="R14" s="194">
        <f t="shared" ref="R14" ca="1" si="5">MIN(OFFSET(M14,0,1,,M14))</f>
        <v>11</v>
      </c>
      <c r="S14" s="195">
        <f ca="1">IF($F15=0,OFFSET(ORÇAMENTO!X$15,$F14,0),IF($F15&lt;&gt;-1,OFFSET(QCI!$O$13,$F15,0),""))</f>
        <v>0</v>
      </c>
      <c r="T14" s="196" t="s">
        <v>790</v>
      </c>
      <c r="U14" s="189" t="e" cm="1">
        <f t="array" aca="1" ref="U14" ca="1">IF(AND($R14=2,ACOMPANHAMENTO="BM"),ROUND(U15,4),U16/$S14)</f>
        <v>#DIV/0!</v>
      </c>
      <c r="V14" s="189" t="e" cm="1">
        <f t="array" aca="1" ref="V14" ca="1">IF(AND($R14=2,ACOMPANHAMENTO="BM"),ROUND(V15,4),V16/$S14)</f>
        <v>#DIV/0!</v>
      </c>
      <c r="W14" s="189" t="e" cm="1">
        <f t="array" aca="1" ref="W14" ca="1">IF(AND($R14=2,ACOMPANHAMENTO="BM"),ROUND(W15,4),W16/$S14)</f>
        <v>#DIV/0!</v>
      </c>
      <c r="X14" s="189" t="e" cm="1">
        <f t="array" aca="1" ref="X14" ca="1">IF(AND($R14=2,ACOMPANHAMENTO="BM"),ROUND(X15,4),X16/$S14)</f>
        <v>#DIV/0!</v>
      </c>
      <c r="Y14" s="189" t="e" cm="1">
        <f t="array" aca="1" ref="Y14" ca="1">IF(AND($R14=2,ACOMPANHAMENTO="BM"),ROUND(Y15,4),Y16/$S14)</f>
        <v>#DIV/0!</v>
      </c>
      <c r="Z14" s="189" t="e" cm="1">
        <f t="array" aca="1" ref="Z14" ca="1">IF(AND($R14=2,ACOMPANHAMENTO="BM"),ROUND(Z15,4),Z16/$S14)</f>
        <v>#DIV/0!</v>
      </c>
      <c r="AA14" s="189" t="e" cm="1">
        <f t="array" aca="1" ref="AA14" ca="1">IF(AND($R14=2,ACOMPANHAMENTO="BM"),ROUND(AA15,4),AA16/$S14)</f>
        <v>#DIV/0!</v>
      </c>
      <c r="AB14" s="189" t="e" cm="1">
        <f t="array" aca="1" ref="AB14" ca="1">IF(AND($R14=2,ACOMPANHAMENTO="BM"),ROUND(AB15,4),AB16/$S14)</f>
        <v>#DIV/0!</v>
      </c>
      <c r="AC14" s="189" t="e" cm="1">
        <f t="array" aca="1" ref="AC14" ca="1">IF(AND($R14=2,ACOMPANHAMENTO="BM"),ROUND(AC15,4),AC16/$S14)</f>
        <v>#DIV/0!</v>
      </c>
      <c r="AD14" s="189" t="e" cm="1">
        <f t="array" aca="1" ref="AD14" ca="1">IF(AND($R14=2,ACOMPANHAMENTO="BM"),ROUND(AD15,4),AD16/$S14)</f>
        <v>#DIV/0!</v>
      </c>
      <c r="AE14" s="189" t="e" cm="1">
        <f t="array" aca="1" ref="AE14" ca="1">IF(AND($R14=2,ACOMPANHAMENTO="BM"),ROUND(AE15,4),AE16/$S14)</f>
        <v>#DIV/0!</v>
      </c>
      <c r="AF14" s="189" t="e" cm="1">
        <f t="array" aca="1" ref="AF14" ca="1">IF(AND($R14=2,ACOMPANHAMENTO="BM"),ROUND(AF15,4),AF16/$S14)</f>
        <v>#DIV/0!</v>
      </c>
      <c r="AG14" s="535"/>
    </row>
    <row r="15" spans="1:33" ht="12.75" customHeight="1" x14ac:dyDescent="0.2">
      <c r="E15" s="594"/>
      <c r="F15" s="186">
        <f ca="1">IF(ISERROR(F14),IF(1+COUNTIF($M$13:OFFSET(M14,-1,0),1)&lt;=MAX(QCI!$D$13:$D$24),1+COUNTIF($M$13:OFFSET(M14,-1,0),1),-1),0)</f>
        <v>0</v>
      </c>
      <c r="G15" s="186" t="str" cm="1">
        <f t="array" aca="1" ref="G15" ca="1">IF(ACOMPANHAMENTO="BM",OFFSET(G15,-1,0),"")</f>
        <v/>
      </c>
      <c r="H15" s="197" t="str" cm="1">
        <f t="array" aca="1" ref="H15" ca="1">IF(OR(S14=0,S14=""),"vazia",IF(AND(OR(ACOMPANHAMENTO="PLE",$R14&lt;&gt;2),$F15=0),"calculada","--&gt;"))</f>
        <v>vazia</v>
      </c>
      <c r="I15" s="198"/>
      <c r="J15" s="199" t="str">
        <f t="shared" ref="J15" ca="1" si="6">IF(AND(H14&lt;&gt;0,ISNUMBER(H14)),"PREENCHA ESTA LINHA --&gt;","")</f>
        <v/>
      </c>
      <c r="K15" s="199"/>
      <c r="L15" s="199"/>
      <c r="M15" s="200"/>
      <c r="N15" s="200"/>
      <c r="O15" s="200"/>
      <c r="P15" s="200"/>
      <c r="Q15" s="200"/>
      <c r="R15" s="200"/>
      <c r="S15" s="201"/>
      <c r="T15" s="202"/>
      <c r="U15" s="594"/>
      <c r="V15" s="594"/>
      <c r="W15" s="594"/>
      <c r="X15" s="594"/>
      <c r="Y15" s="594"/>
      <c r="Z15" s="594"/>
      <c r="AA15" s="594"/>
      <c r="AB15" s="594"/>
      <c r="AC15" s="594"/>
      <c r="AD15" s="594"/>
      <c r="AE15" s="594"/>
      <c r="AF15" s="594"/>
      <c r="AG15" s="535"/>
    </row>
    <row r="16" spans="1:33" ht="12.75" hidden="1" customHeight="1" x14ac:dyDescent="0.2">
      <c r="D16" s="534"/>
      <c r="E16" s="203" cm="1">
        <f t="array" aca="1" ref="E16" ca="1">IF($R14=2,
         IF(AND(ACOMPANHAMENTO="PLE",ISNUMBER($F14)),
                SUMIF((OFFSET(CÁLCULO!$AM$15:$AW$15,$F14,0,OFFSET(ORÇAMENTO!$D$15,CRONO!$F14,0))),CRONO!E$12,OFFSET(CÁLCULO!$AB$15:$AL$15,$F14,0,OFFSET(ORÇAMENTO!$D$15,CRONO!$F14,0)))
                +IF(AND($F16&lt;&gt;"",$F16&lt;&gt;0),
                        SUMIF(CÁLCULO!$AM$15:$AW$27,CRONO!E$12,CÁLCULO!$AB$15:$AL$27)/(ORÇAMENTO!$X$15-_xlfn.SINGLE(CÁLCULO.TotalAdmLocal))*CRONO!$F16,
                        0),
                 E15*$S14),
          SUMIF(OFFSET($S16,1,0,$R14-2),($M14+1)&amp;"$",OFFSET(E16,1,0,$R14-2)))</f>
        <v>0</v>
      </c>
      <c r="F16" s="186" t="str">
        <f ca="1">IF(OR($R14&lt;&gt;2,AUTOEVENTO&lt;&gt;"manual",$F15&gt;0),"",
        IF(Import.TipoArredondamento="Tradicional",
              SUMIF(OFFSET(CÁLCULO!$M$15,CRONO!$F14,0,OFFSET(ORÇAMENTO!$D$15,CRONO!$F14,0)),1,OFFSET(ORÇAMENTO!$X$15,CRONO!$F14,0,OFFSET(ORÇAMENTO!$D$15,CRONO!$F14,0))),
              0))</f>
        <v/>
      </c>
      <c r="H16" s="204"/>
      <c r="S16" s="205" t="str">
        <f t="shared" ref="S16" ca="1" si="7">M14&amp;"$"</f>
        <v>1$</v>
      </c>
      <c r="T16" s="206"/>
      <c r="U16" s="203" cm="1">
        <f t="array" aca="1" ref="U16" ca="1">IF($R14=2,
         IF(AND(ACOMPANHAMENTO="PLE",ISNUMBER($F14)),
                SUMIF((OFFSET(CÁLCULO!$AM$15:$AW$15,$F14,0,OFFSET(ORÇAMENTO!$D$15,CRONO!$F14,0))),CRONO!U$12,OFFSET(CÁLCULO!$AB$15:$AL$15,$F14,0,OFFSET(ORÇAMENTO!$D$15,CRONO!$F14,0)))
                +IF(AND($F16&lt;&gt;"",$F16&lt;&gt;0),
                        SUMIF(CÁLCULO!$AM$15:$AW$27,CRONO!U$12,CÁLCULO!$AB$15:$AL$27)/(ORÇAMENTO!$X$15-_xlfn.SINGLE(CÁLCULO.TotalAdmLocal))*CRONO!$F16,
                        0),
                 U15*$S14),
          SUMIF(OFFSET($S16,1,0,$R14-2),($M14+1)&amp;"$",OFFSET(U16,1,0,$R14-2)))</f>
        <v>0</v>
      </c>
      <c r="V16" s="203" cm="1">
        <f t="array" aca="1" ref="V16" ca="1">IF($R14=2,
         IF(AND(ACOMPANHAMENTO="PLE",ISNUMBER($F14)),
                SUMIF((OFFSET(CÁLCULO!$AM$15:$AW$15,$F14,0,OFFSET(ORÇAMENTO!$D$15,CRONO!$F14,0))),CRONO!V$12,OFFSET(CÁLCULO!$AB$15:$AL$15,$F14,0,OFFSET(ORÇAMENTO!$D$15,CRONO!$F14,0)))
                +IF(AND($F16&lt;&gt;"",$F16&lt;&gt;0),
                        SUMIF(CÁLCULO!$AM$15:$AW$27,CRONO!V$12,CÁLCULO!$AB$15:$AL$27)/(ORÇAMENTO!$X$15-_xlfn.SINGLE(CÁLCULO.TotalAdmLocal))*CRONO!$F16,
                        0),
                 V15*$S14),
          SUMIF(OFFSET($S16,1,0,$R14-2),($M14+1)&amp;"$",OFFSET(V16,1,0,$R14-2)))</f>
        <v>0</v>
      </c>
      <c r="W16" s="203" cm="1">
        <f t="array" aca="1" ref="W16" ca="1">IF($R14=2,
         IF(AND(ACOMPANHAMENTO="PLE",ISNUMBER($F14)),
                SUMIF((OFFSET(CÁLCULO!$AM$15:$AW$15,$F14,0,OFFSET(ORÇAMENTO!$D$15,CRONO!$F14,0))),CRONO!W$12,OFFSET(CÁLCULO!$AB$15:$AL$15,$F14,0,OFFSET(ORÇAMENTO!$D$15,CRONO!$F14,0)))
                +IF(AND($F16&lt;&gt;"",$F16&lt;&gt;0),
                        SUMIF(CÁLCULO!$AM$15:$AW$27,CRONO!W$12,CÁLCULO!$AB$15:$AL$27)/(ORÇAMENTO!$X$15-_xlfn.SINGLE(CÁLCULO.TotalAdmLocal))*CRONO!$F16,
                        0),
                 W15*$S14),
          SUMIF(OFFSET($S16,1,0,$R14-2),($M14+1)&amp;"$",OFFSET(W16,1,0,$R14-2)))</f>
        <v>0</v>
      </c>
      <c r="X16" s="203" cm="1">
        <f t="array" aca="1" ref="X16" ca="1">IF($R14=2,
         IF(AND(ACOMPANHAMENTO="PLE",ISNUMBER($F14)),
                SUMIF((OFFSET(CÁLCULO!$AM$15:$AW$15,$F14,0,OFFSET(ORÇAMENTO!$D$15,CRONO!$F14,0))),CRONO!X$12,OFFSET(CÁLCULO!$AB$15:$AL$15,$F14,0,OFFSET(ORÇAMENTO!$D$15,CRONO!$F14,0)))
                +IF(AND($F16&lt;&gt;"",$F16&lt;&gt;0),
                        SUMIF(CÁLCULO!$AM$15:$AW$27,CRONO!X$12,CÁLCULO!$AB$15:$AL$27)/(ORÇAMENTO!$X$15-_xlfn.SINGLE(CÁLCULO.TotalAdmLocal))*CRONO!$F16,
                        0),
                 X15*$S14),
          SUMIF(OFFSET($S16,1,0,$R14-2),($M14+1)&amp;"$",OFFSET(X16,1,0,$R14-2)))</f>
        <v>0</v>
      </c>
      <c r="Y16" s="203" cm="1">
        <f t="array" aca="1" ref="Y16" ca="1">IF($R14=2,
         IF(AND(ACOMPANHAMENTO="PLE",ISNUMBER($F14)),
                SUMIF((OFFSET(CÁLCULO!$AM$15:$AW$15,$F14,0,OFFSET(ORÇAMENTO!$D$15,CRONO!$F14,0))),CRONO!Y$12,OFFSET(CÁLCULO!$AB$15:$AL$15,$F14,0,OFFSET(ORÇAMENTO!$D$15,CRONO!$F14,0)))
                +IF(AND($F16&lt;&gt;"",$F16&lt;&gt;0),
                        SUMIF(CÁLCULO!$AM$15:$AW$27,CRONO!Y$12,CÁLCULO!$AB$15:$AL$27)/(ORÇAMENTO!$X$15-_xlfn.SINGLE(CÁLCULO.TotalAdmLocal))*CRONO!$F16,
                        0),
                 Y15*$S14),
          SUMIF(OFFSET($S16,1,0,$R14-2),($M14+1)&amp;"$",OFFSET(Y16,1,0,$R14-2)))</f>
        <v>0</v>
      </c>
      <c r="Z16" s="203" cm="1">
        <f t="array" aca="1" ref="Z16" ca="1">IF($R14=2,
         IF(AND(ACOMPANHAMENTO="PLE",ISNUMBER($F14)),
                SUMIF((OFFSET(CÁLCULO!$AM$15:$AW$15,$F14,0,OFFSET(ORÇAMENTO!$D$15,CRONO!$F14,0))),CRONO!Z$12,OFFSET(CÁLCULO!$AB$15:$AL$15,$F14,0,OFFSET(ORÇAMENTO!$D$15,CRONO!$F14,0)))
                +IF(AND($F16&lt;&gt;"",$F16&lt;&gt;0),
                        SUMIF(CÁLCULO!$AM$15:$AW$27,CRONO!Z$12,CÁLCULO!$AB$15:$AL$27)/(ORÇAMENTO!$X$15-_xlfn.SINGLE(CÁLCULO.TotalAdmLocal))*CRONO!$F16,
                        0),
                 Z15*$S14),
          SUMIF(OFFSET($S16,1,0,$R14-2),($M14+1)&amp;"$",OFFSET(Z16,1,0,$R14-2)))</f>
        <v>0</v>
      </c>
      <c r="AA16" s="203" cm="1">
        <f t="array" aca="1" ref="AA16" ca="1">IF($R14=2,
         IF(AND(ACOMPANHAMENTO="PLE",ISNUMBER($F14)),
                SUMIF((OFFSET(CÁLCULO!$AM$15:$AW$15,$F14,0,OFFSET(ORÇAMENTO!$D$15,CRONO!$F14,0))),CRONO!AA$12,OFFSET(CÁLCULO!$AB$15:$AL$15,$F14,0,OFFSET(ORÇAMENTO!$D$15,CRONO!$F14,0)))
                +IF(AND($F16&lt;&gt;"",$F16&lt;&gt;0),
                        SUMIF(CÁLCULO!$AM$15:$AW$27,CRONO!AA$12,CÁLCULO!$AB$15:$AL$27)/(ORÇAMENTO!$X$15-_xlfn.SINGLE(CÁLCULO.TotalAdmLocal))*CRONO!$F16,
                        0),
                 AA15*$S14),
          SUMIF(OFFSET($S16,1,0,$R14-2),($M14+1)&amp;"$",OFFSET(AA16,1,0,$R14-2)))</f>
        <v>0</v>
      </c>
      <c r="AB16" s="203" cm="1">
        <f t="array" aca="1" ref="AB16" ca="1">IF($R14=2,
         IF(AND(ACOMPANHAMENTO="PLE",ISNUMBER($F14)),
                SUMIF((OFFSET(CÁLCULO!$AM$15:$AW$15,$F14,0,OFFSET(ORÇAMENTO!$D$15,CRONO!$F14,0))),CRONO!AB$12,OFFSET(CÁLCULO!$AB$15:$AL$15,$F14,0,OFFSET(ORÇAMENTO!$D$15,CRONO!$F14,0)))
                +IF(AND($F16&lt;&gt;"",$F16&lt;&gt;0),
                        SUMIF(CÁLCULO!$AM$15:$AW$27,CRONO!AB$12,CÁLCULO!$AB$15:$AL$27)/(ORÇAMENTO!$X$15-_xlfn.SINGLE(CÁLCULO.TotalAdmLocal))*CRONO!$F16,
                        0),
                 AB15*$S14),
          SUMIF(OFFSET($S16,1,0,$R14-2),($M14+1)&amp;"$",OFFSET(AB16,1,0,$R14-2)))</f>
        <v>0</v>
      </c>
      <c r="AC16" s="203" cm="1">
        <f t="array" aca="1" ref="AC16" ca="1">IF($R14=2,
         IF(AND(ACOMPANHAMENTO="PLE",ISNUMBER($F14)),
                SUMIF((OFFSET(CÁLCULO!$AM$15:$AW$15,$F14,0,OFFSET(ORÇAMENTO!$D$15,CRONO!$F14,0))),CRONO!AC$12,OFFSET(CÁLCULO!$AB$15:$AL$15,$F14,0,OFFSET(ORÇAMENTO!$D$15,CRONO!$F14,0)))
                +IF(AND($F16&lt;&gt;"",$F16&lt;&gt;0),
                        SUMIF(CÁLCULO!$AM$15:$AW$27,CRONO!AC$12,CÁLCULO!$AB$15:$AL$27)/(ORÇAMENTO!$X$15-_xlfn.SINGLE(CÁLCULO.TotalAdmLocal))*CRONO!$F16,
                        0),
                 AC15*$S14),
          SUMIF(OFFSET($S16,1,0,$R14-2),($M14+1)&amp;"$",OFFSET(AC16,1,0,$R14-2)))</f>
        <v>0</v>
      </c>
      <c r="AD16" s="203" cm="1">
        <f t="array" aca="1" ref="AD16" ca="1">IF($R14=2,
         IF(AND(ACOMPANHAMENTO="PLE",ISNUMBER($F14)),
                SUMIF((OFFSET(CÁLCULO!$AM$15:$AW$15,$F14,0,OFFSET(ORÇAMENTO!$D$15,CRONO!$F14,0))),CRONO!AD$12,OFFSET(CÁLCULO!$AB$15:$AL$15,$F14,0,OFFSET(ORÇAMENTO!$D$15,CRONO!$F14,0)))
                +IF(AND($F16&lt;&gt;"",$F16&lt;&gt;0),
                        SUMIF(CÁLCULO!$AM$15:$AW$27,CRONO!AD$12,CÁLCULO!$AB$15:$AL$27)/(ORÇAMENTO!$X$15-_xlfn.SINGLE(CÁLCULO.TotalAdmLocal))*CRONO!$F16,
                        0),
                 AD15*$S14),
          SUMIF(OFFSET($S16,1,0,$R14-2),($M14+1)&amp;"$",OFFSET(AD16,1,0,$R14-2)))</f>
        <v>0</v>
      </c>
      <c r="AE16" s="203" cm="1">
        <f t="array" aca="1" ref="AE16" ca="1">IF($R14=2,
         IF(AND(ACOMPANHAMENTO="PLE",ISNUMBER($F14)),
                SUMIF((OFFSET(CÁLCULO!$AM$15:$AW$15,$F14,0,OFFSET(ORÇAMENTO!$D$15,CRONO!$F14,0))),CRONO!AE$12,OFFSET(CÁLCULO!$AB$15:$AL$15,$F14,0,OFFSET(ORÇAMENTO!$D$15,CRONO!$F14,0)))
                +IF(AND($F16&lt;&gt;"",$F16&lt;&gt;0),
                        SUMIF(CÁLCULO!$AM$15:$AW$27,CRONO!AE$12,CÁLCULO!$AB$15:$AL$27)/(ORÇAMENTO!$X$15-_xlfn.SINGLE(CÁLCULO.TotalAdmLocal))*CRONO!$F16,
                        0),
                 AE15*$S14),
          SUMIF(OFFSET($S16,1,0,$R14-2),($M14+1)&amp;"$",OFFSET(AE16,1,0,$R14-2)))</f>
        <v>0</v>
      </c>
      <c r="AF16" s="203" cm="1">
        <f t="array" aca="1" ref="AF16" ca="1">IF($R14=2,
         IF(AND(ACOMPANHAMENTO="PLE",ISNUMBER($F14)),
                SUMIF((OFFSET(CÁLCULO!$AM$15:$AW$15,$F14,0,OFFSET(ORÇAMENTO!$D$15,CRONO!$F14,0))),CRONO!AF$12,OFFSET(CÁLCULO!$AB$15:$AL$15,$F14,0,OFFSET(ORÇAMENTO!$D$15,CRONO!$F14,0)))
                +IF(AND($F16&lt;&gt;"",$F16&lt;&gt;0),
                        SUMIF(CÁLCULO!$AM$15:$AW$27,CRONO!AF$12,CÁLCULO!$AB$15:$AL$27)/(ORÇAMENTO!$X$15-_xlfn.SINGLE(CÁLCULO.TotalAdmLocal))*CRONO!$F16,
                        0),
                 AF15*$S14),
          SUMIF(OFFSET($S16,1,0,$R14-2),($M14+1)&amp;"$",OFFSET(AF16,1,0,$R14-2)))</f>
        <v>0</v>
      </c>
      <c r="AG16" s="535"/>
    </row>
    <row r="17" spans="1:33" x14ac:dyDescent="0.2">
      <c r="A17" s="187" t="e">
        <f t="shared" ref="A17" ca="1" si="8">IF($M17&gt;1,_xlfn.CONCAT($I17," ",$J17),"")</f>
        <v>#NAME?</v>
      </c>
      <c r="B17" s="186">
        <f t="shared" ref="B17" ca="1" si="9">OFFSET(B17,-3,0)+1</f>
        <v>2</v>
      </c>
      <c r="C17" s="186">
        <f ca="1">IF($R17&lt;&gt;2,0,IF($S17=0,1,IF(F18&gt;0,OFFSET(QCI!$M$13,SUBSTITUTE(F18,".",""),0),OFFSET(ORÇAMENTO!$AA$15,CRONO!$F17,0))/$S17))</f>
        <v>1</v>
      </c>
      <c r="D17" s="186">
        <f ca="1">IF($R17&lt;&gt;2,0,IF($S17=0,1,IF(F18&gt;0,OFFSET(QCI!$N$13,SUBSTITUTE(F18,".",""),0),OFFSET(ORÇAMENTO!$AB$15,CRONO!$F17,0))/$S17))</f>
        <v>1</v>
      </c>
      <c r="E17" s="189" cm="1">
        <f t="array" aca="1" ref="E17" ca="1">IF(AND($R17=2,ACOMPANHAMENTO="BM"),ROUND(E18,4),E19/$S17)</f>
        <v>0</v>
      </c>
      <c r="F17" s="186">
        <f ca="1">IF(B17&lt;=ORÇAMENTO.MáximoListaCrono,MATCH(B17,ORÇAMENTO.ListaCrono,0),NA())</f>
        <v>2</v>
      </c>
      <c r="G17" s="186" t="str">
        <f t="shared" ref="G17" ca="1" si="10">IF(AND($F18&lt;&gt;-1,$S17&gt;0),"F","")</f>
        <v/>
      </c>
      <c r="H17" s="190" t="str" cm="1">
        <f t="array" aca="1" ref="H17" ca="1">IF(OR(S17=0,S17=""),"Linha",IF(AND(OR(ACOMPANHAMENTO="PLE",$R17&lt;&gt;2),$F18=0),"Linha",ROUND(1-SUM(U17:AG17),4)))</f>
        <v>Linha</v>
      </c>
      <c r="I17" s="191" t="str">
        <f ca="1">IF($F18=0,OFFSET(ORÇAMENTO!O$15,$F17,0),IF($F18&lt;&gt;-1,OFFSET(QCI!$D$13,$F18,0),""))</f>
        <v>1.1.</v>
      </c>
      <c r="J17" s="192" t="str">
        <f ca="1">IF($F18=0,OFFSET(ORÇAMENTO!R$15,$F17,0),IF($F18&lt;&gt;-1,OFFSET(QCI!$G$13,$F18,0),""))</f>
        <v>FUNDAÇÕES</v>
      </c>
      <c r="K17" s="192"/>
      <c r="L17" s="192"/>
      <c r="M17" s="193">
        <f ca="1">IF($F18=0,OFFSET(ORÇAMENTO!C$15,$F17,0),1)</f>
        <v>2</v>
      </c>
      <c r="N17" s="194">
        <f ca="1">IF($F18=-1,0,IF(N$13&lt;=$M17,IF(ISERROR(MATCH(N$13,OFFSET($M17,1,0,ROW($M$26)-ROW($M17)-1),0)),ROW($M$26)-ROW($M17)-1,MATCH(N$13,OFFSET($M17,1,0,ROW($M$26)-ROW($M17)-1),0)-1),0))</f>
        <v>8</v>
      </c>
      <c r="O17" s="194">
        <f ca="1">IF($F18=-1,0,IF(O$13&lt;=$M17,IF(ISERROR(MATCH(O$13,OFFSET($M17,1,0,ROW($M$26)-ROW($M17)-1),0)),ROW($M$26)-ROW($M17)-1,MATCH(O$13,OFFSET($M17,1,0,ROW($M$26)-ROW($M17)-1),0)-1),0))</f>
        <v>2</v>
      </c>
      <c r="P17" s="194">
        <f ca="1">IF($F18=-1,0,IF(P$13&lt;=$M17,IF(ISERROR(MATCH(P$13,OFFSET($M17,1,0,ROW($M$26)-ROW($M17)-1),0)),ROW($M$26)-ROW($M17)-1,MATCH(P$13,OFFSET($M17,1,0,ROW($M$26)-ROW($M17)-1),0)-1),0))</f>
        <v>0</v>
      </c>
      <c r="Q17" s="194">
        <f ca="1">IF($F18=-1,0,IF(Q$13&lt;=$M17,IF(ISERROR(MATCH(Q$13,OFFSET($M17,1,0,ROW($M$26)-ROW($M17)-1),0)),ROW($M$26)-ROW($M17)-1,MATCH(Q$13,OFFSET($M17,1,0,ROW($M$26)-ROW($M17)-1),0)-1),0))</f>
        <v>0</v>
      </c>
      <c r="R17" s="194">
        <f t="shared" ref="R17" ca="1" si="11">MIN(OFFSET(M17,0,1,,M17))</f>
        <v>2</v>
      </c>
      <c r="S17" s="195">
        <f ca="1">IF($F18=0,OFFSET(ORÇAMENTO!X$15,$F17,0),IF($F18&lt;&gt;-1,OFFSET(QCI!$O$13,$F18,0),""))</f>
        <v>0</v>
      </c>
      <c r="T17" s="196" t="s">
        <v>790</v>
      </c>
      <c r="U17" s="189" cm="1">
        <f t="array" aca="1" ref="U17" ca="1">IF(AND($R17=2,ACOMPANHAMENTO="BM"),ROUND(U18,4),U19/$S17)</f>
        <v>1</v>
      </c>
      <c r="V17" s="189" cm="1">
        <f t="array" aca="1" ref="V17" ca="1">IF(AND($R17=2,ACOMPANHAMENTO="BM"),ROUND(V18,4),V19/$S17)</f>
        <v>0</v>
      </c>
      <c r="W17" s="189" cm="1">
        <f t="array" aca="1" ref="W17" ca="1">IF(AND($R17=2,ACOMPANHAMENTO="BM"),ROUND(W18,4),W19/$S17)</f>
        <v>0</v>
      </c>
      <c r="X17" s="189" cm="1">
        <f t="array" aca="1" ref="X17" ca="1">IF(AND($R17=2,ACOMPANHAMENTO="BM"),ROUND(X18,4),X19/$S17)</f>
        <v>0</v>
      </c>
      <c r="Y17" s="189" cm="1">
        <f t="array" aca="1" ref="Y17" ca="1">IF(AND($R17=2,ACOMPANHAMENTO="BM"),ROUND(Y18,4),Y19/$S17)</f>
        <v>0</v>
      </c>
      <c r="Z17" s="189" cm="1">
        <f t="array" aca="1" ref="Z17" ca="1">IF(AND($R17=2,ACOMPANHAMENTO="BM"),ROUND(Z18,4),Z19/$S17)</f>
        <v>0</v>
      </c>
      <c r="AA17" s="189" cm="1">
        <f t="array" aca="1" ref="AA17" ca="1">IF(AND($R17=2,ACOMPANHAMENTO="BM"),ROUND(AA18,4),AA19/$S17)</f>
        <v>0</v>
      </c>
      <c r="AB17" s="189" cm="1">
        <f t="array" aca="1" ref="AB17" ca="1">IF(AND($R17=2,ACOMPANHAMENTO="BM"),ROUND(AB18,4),AB19/$S17)</f>
        <v>0</v>
      </c>
      <c r="AC17" s="189" cm="1">
        <f t="array" aca="1" ref="AC17" ca="1">IF(AND($R17=2,ACOMPANHAMENTO="BM"),ROUND(AC18,4),AC19/$S17)</f>
        <v>0</v>
      </c>
      <c r="AD17" s="189" cm="1">
        <f t="array" aca="1" ref="AD17" ca="1">IF(AND($R17=2,ACOMPANHAMENTO="BM"),ROUND(AD18,4),AD19/$S17)</f>
        <v>0</v>
      </c>
      <c r="AE17" s="189" cm="1">
        <f t="array" aca="1" ref="AE17" ca="1">IF(AND($R17=2,ACOMPANHAMENTO="BM"),ROUND(AE18,4),AE19/$S17)</f>
        <v>0</v>
      </c>
      <c r="AF17" s="189" cm="1">
        <f t="array" aca="1" ref="AF17" ca="1">IF(AND($R17=2,ACOMPANHAMENTO="BM"),ROUND(AF18,4),AF19/$S17)</f>
        <v>0</v>
      </c>
      <c r="AG17" s="535"/>
    </row>
    <row r="18" spans="1:33" ht="12.75" customHeight="1" x14ac:dyDescent="0.2">
      <c r="E18" s="594"/>
      <c r="F18" s="186">
        <f ca="1">IF(ISERROR(F17),IF(1+COUNTIF($M$13:OFFSET(M17,-1,0),1)&lt;=MAX(QCI!$D$13:$D$24),1+COUNTIF($M$13:OFFSET(M17,-1,0),1),-1),0)</f>
        <v>0</v>
      </c>
      <c r="G18" s="186" t="str" cm="1">
        <f t="array" aca="1" ref="G18" ca="1">IF(ACOMPANHAMENTO="BM",OFFSET(G18,-1,0),"")</f>
        <v/>
      </c>
      <c r="H18" s="197" t="str" cm="1">
        <f t="array" aca="1" ref="H18" ca="1">IF(OR(S17=0,S17=""),"vazia",IF(AND(OR(ACOMPANHAMENTO="PLE",$R17&lt;&gt;2),$F18=0),"calculada","--&gt;"))</f>
        <v>vazia</v>
      </c>
      <c r="I18" s="198"/>
      <c r="J18" s="199" t="str">
        <f t="shared" ref="J18" ca="1" si="12">IF(AND(H17&lt;&gt;0,ISNUMBER(H17)),"PREENCHA ESTA LINHA --&gt;","")</f>
        <v/>
      </c>
      <c r="K18" s="199"/>
      <c r="L18" s="199"/>
      <c r="M18" s="200"/>
      <c r="N18" s="200"/>
      <c r="O18" s="200"/>
      <c r="P18" s="200"/>
      <c r="Q18" s="200"/>
      <c r="R18" s="200"/>
      <c r="S18" s="201"/>
      <c r="T18" s="202"/>
      <c r="U18" s="594">
        <v>1</v>
      </c>
      <c r="V18" s="594"/>
      <c r="W18" s="594"/>
      <c r="X18" s="594"/>
      <c r="Y18" s="594"/>
      <c r="Z18" s="594"/>
      <c r="AA18" s="594"/>
      <c r="AB18" s="594"/>
      <c r="AC18" s="594"/>
      <c r="AD18" s="594"/>
      <c r="AE18" s="594"/>
      <c r="AF18" s="594"/>
      <c r="AG18" s="535"/>
    </row>
    <row r="19" spans="1:33" ht="12.75" hidden="1" customHeight="1" x14ac:dyDescent="0.2">
      <c r="D19" s="534"/>
      <c r="E19" s="203" cm="1">
        <f t="array" aca="1" ref="E19" ca="1">IF($R17=2,
         IF(AND(ACOMPANHAMENTO="PLE",ISNUMBER($F17)),
                SUMIF((OFFSET(CÁLCULO!$AM$15:$AW$15,$F17,0,OFFSET(ORÇAMENTO!$D$15,CRONO!$F17,0))),CRONO!E$12,OFFSET(CÁLCULO!$AB$15:$AL$15,$F17,0,OFFSET(ORÇAMENTO!$D$15,CRONO!$F17,0)))
                +IF(AND($F19&lt;&gt;"",$F19&lt;&gt;0),
                        SUMIF(CÁLCULO!$AM$15:$AW$27,CRONO!E$12,CÁLCULO!$AB$15:$AL$27)/(ORÇAMENTO!$X$15-_xlfn.SINGLE(CÁLCULO.TotalAdmLocal))*CRONO!$F19,
                        0),
                 E18*$S17),
          SUMIF(OFFSET($S19,1,0,$R17-2),($M17+1)&amp;"$",OFFSET(E19,1,0,$R17-2)))</f>
        <v>0</v>
      </c>
      <c r="F19" s="186" t="str">
        <f ca="1">IF(OR($R17&lt;&gt;2,AUTOEVENTO&lt;&gt;"manual",$F18&gt;0),"",
        IF(Import.TipoArredondamento="Tradicional",
              SUMIF(OFFSET(CÁLCULO!$M$15,CRONO!$F17,0,OFFSET(ORÇAMENTO!$D$15,CRONO!$F17,0)),1,OFFSET(ORÇAMENTO!$X$15,CRONO!$F17,0,OFFSET(ORÇAMENTO!$D$15,CRONO!$F17,0))),
              0))</f>
        <v/>
      </c>
      <c r="H19" s="204"/>
      <c r="S19" s="205" t="str">
        <f t="shared" ref="S19" ca="1" si="13">M17&amp;"$"</f>
        <v>2$</v>
      </c>
      <c r="T19" s="206"/>
      <c r="U19" s="203" cm="1">
        <f t="array" aca="1" ref="U19" ca="1">IF($R17=2,
         IF(AND(ACOMPANHAMENTO="PLE",ISNUMBER($F17)),
                SUMIF((OFFSET(CÁLCULO!$AM$15:$AW$15,$F17,0,OFFSET(ORÇAMENTO!$D$15,CRONO!$F17,0))),CRONO!U$12,OFFSET(CÁLCULO!$AB$15:$AL$15,$F17,0,OFFSET(ORÇAMENTO!$D$15,CRONO!$F17,0)))
                +IF(AND($F19&lt;&gt;"",$F19&lt;&gt;0),
                        SUMIF(CÁLCULO!$AM$15:$AW$27,CRONO!U$12,CÁLCULO!$AB$15:$AL$27)/(ORÇAMENTO!$X$15-_xlfn.SINGLE(CÁLCULO.TotalAdmLocal))*CRONO!$F19,
                        0),
                 U18*$S17),
          SUMIF(OFFSET($S19,1,0,$R17-2),($M17+1)&amp;"$",OFFSET(U19,1,0,$R17-2)))</f>
        <v>0</v>
      </c>
      <c r="V19" s="203" cm="1">
        <f t="array" aca="1" ref="V19" ca="1">IF($R17=2,
         IF(AND(ACOMPANHAMENTO="PLE",ISNUMBER($F17)),
                SUMIF((OFFSET(CÁLCULO!$AM$15:$AW$15,$F17,0,OFFSET(ORÇAMENTO!$D$15,CRONO!$F17,0))),CRONO!V$12,OFFSET(CÁLCULO!$AB$15:$AL$15,$F17,0,OFFSET(ORÇAMENTO!$D$15,CRONO!$F17,0)))
                +IF(AND($F19&lt;&gt;"",$F19&lt;&gt;0),
                        SUMIF(CÁLCULO!$AM$15:$AW$27,CRONO!V$12,CÁLCULO!$AB$15:$AL$27)/(ORÇAMENTO!$X$15-_xlfn.SINGLE(CÁLCULO.TotalAdmLocal))*CRONO!$F19,
                        0),
                 V18*$S17),
          SUMIF(OFFSET($S19,1,0,$R17-2),($M17+1)&amp;"$",OFFSET(V19,1,0,$R17-2)))</f>
        <v>0</v>
      </c>
      <c r="W19" s="203" cm="1">
        <f t="array" aca="1" ref="W19" ca="1">IF($R17=2,
         IF(AND(ACOMPANHAMENTO="PLE",ISNUMBER($F17)),
                SUMIF((OFFSET(CÁLCULO!$AM$15:$AW$15,$F17,0,OFFSET(ORÇAMENTO!$D$15,CRONO!$F17,0))),CRONO!W$12,OFFSET(CÁLCULO!$AB$15:$AL$15,$F17,0,OFFSET(ORÇAMENTO!$D$15,CRONO!$F17,0)))
                +IF(AND($F19&lt;&gt;"",$F19&lt;&gt;0),
                        SUMIF(CÁLCULO!$AM$15:$AW$27,CRONO!W$12,CÁLCULO!$AB$15:$AL$27)/(ORÇAMENTO!$X$15-_xlfn.SINGLE(CÁLCULO.TotalAdmLocal))*CRONO!$F19,
                        0),
                 W18*$S17),
          SUMIF(OFFSET($S19,1,0,$R17-2),($M17+1)&amp;"$",OFFSET(W19,1,0,$R17-2)))</f>
        <v>0</v>
      </c>
      <c r="X19" s="203" cm="1">
        <f t="array" aca="1" ref="X19" ca="1">IF($R17=2,
         IF(AND(ACOMPANHAMENTO="PLE",ISNUMBER($F17)),
                SUMIF((OFFSET(CÁLCULO!$AM$15:$AW$15,$F17,0,OFFSET(ORÇAMENTO!$D$15,CRONO!$F17,0))),CRONO!X$12,OFFSET(CÁLCULO!$AB$15:$AL$15,$F17,0,OFFSET(ORÇAMENTO!$D$15,CRONO!$F17,0)))
                +IF(AND($F19&lt;&gt;"",$F19&lt;&gt;0),
                        SUMIF(CÁLCULO!$AM$15:$AW$27,CRONO!X$12,CÁLCULO!$AB$15:$AL$27)/(ORÇAMENTO!$X$15-_xlfn.SINGLE(CÁLCULO.TotalAdmLocal))*CRONO!$F19,
                        0),
                 X18*$S17),
          SUMIF(OFFSET($S19,1,0,$R17-2),($M17+1)&amp;"$",OFFSET(X19,1,0,$R17-2)))</f>
        <v>0</v>
      </c>
      <c r="Y19" s="203" cm="1">
        <f t="array" aca="1" ref="Y19" ca="1">IF($R17=2,
         IF(AND(ACOMPANHAMENTO="PLE",ISNUMBER($F17)),
                SUMIF((OFFSET(CÁLCULO!$AM$15:$AW$15,$F17,0,OFFSET(ORÇAMENTO!$D$15,CRONO!$F17,0))),CRONO!Y$12,OFFSET(CÁLCULO!$AB$15:$AL$15,$F17,0,OFFSET(ORÇAMENTO!$D$15,CRONO!$F17,0)))
                +IF(AND($F19&lt;&gt;"",$F19&lt;&gt;0),
                        SUMIF(CÁLCULO!$AM$15:$AW$27,CRONO!Y$12,CÁLCULO!$AB$15:$AL$27)/(ORÇAMENTO!$X$15-_xlfn.SINGLE(CÁLCULO.TotalAdmLocal))*CRONO!$F19,
                        0),
                 Y18*$S17),
          SUMIF(OFFSET($S19,1,0,$R17-2),($M17+1)&amp;"$",OFFSET(Y19,1,0,$R17-2)))</f>
        <v>0</v>
      </c>
      <c r="Z19" s="203" cm="1">
        <f t="array" aca="1" ref="Z19" ca="1">IF($R17=2,
         IF(AND(ACOMPANHAMENTO="PLE",ISNUMBER($F17)),
                SUMIF((OFFSET(CÁLCULO!$AM$15:$AW$15,$F17,0,OFFSET(ORÇAMENTO!$D$15,CRONO!$F17,0))),CRONO!Z$12,OFFSET(CÁLCULO!$AB$15:$AL$15,$F17,0,OFFSET(ORÇAMENTO!$D$15,CRONO!$F17,0)))
                +IF(AND($F19&lt;&gt;"",$F19&lt;&gt;0),
                        SUMIF(CÁLCULO!$AM$15:$AW$27,CRONO!Z$12,CÁLCULO!$AB$15:$AL$27)/(ORÇAMENTO!$X$15-_xlfn.SINGLE(CÁLCULO.TotalAdmLocal))*CRONO!$F19,
                        0),
                 Z18*$S17),
          SUMIF(OFFSET($S19,1,0,$R17-2),($M17+1)&amp;"$",OFFSET(Z19,1,0,$R17-2)))</f>
        <v>0</v>
      </c>
      <c r="AA19" s="203" cm="1">
        <f t="array" aca="1" ref="AA19" ca="1">IF($R17=2,
         IF(AND(ACOMPANHAMENTO="PLE",ISNUMBER($F17)),
                SUMIF((OFFSET(CÁLCULO!$AM$15:$AW$15,$F17,0,OFFSET(ORÇAMENTO!$D$15,CRONO!$F17,0))),CRONO!AA$12,OFFSET(CÁLCULO!$AB$15:$AL$15,$F17,0,OFFSET(ORÇAMENTO!$D$15,CRONO!$F17,0)))
                +IF(AND($F19&lt;&gt;"",$F19&lt;&gt;0),
                        SUMIF(CÁLCULO!$AM$15:$AW$27,CRONO!AA$12,CÁLCULO!$AB$15:$AL$27)/(ORÇAMENTO!$X$15-_xlfn.SINGLE(CÁLCULO.TotalAdmLocal))*CRONO!$F19,
                        0),
                 AA18*$S17),
          SUMIF(OFFSET($S19,1,0,$R17-2),($M17+1)&amp;"$",OFFSET(AA19,1,0,$R17-2)))</f>
        <v>0</v>
      </c>
      <c r="AB19" s="203" cm="1">
        <f t="array" aca="1" ref="AB19" ca="1">IF($R17=2,
         IF(AND(ACOMPANHAMENTO="PLE",ISNUMBER($F17)),
                SUMIF((OFFSET(CÁLCULO!$AM$15:$AW$15,$F17,0,OFFSET(ORÇAMENTO!$D$15,CRONO!$F17,0))),CRONO!AB$12,OFFSET(CÁLCULO!$AB$15:$AL$15,$F17,0,OFFSET(ORÇAMENTO!$D$15,CRONO!$F17,0)))
                +IF(AND($F19&lt;&gt;"",$F19&lt;&gt;0),
                        SUMIF(CÁLCULO!$AM$15:$AW$27,CRONO!AB$12,CÁLCULO!$AB$15:$AL$27)/(ORÇAMENTO!$X$15-_xlfn.SINGLE(CÁLCULO.TotalAdmLocal))*CRONO!$F19,
                        0),
                 AB18*$S17),
          SUMIF(OFFSET($S19,1,0,$R17-2),($M17+1)&amp;"$",OFFSET(AB19,1,0,$R17-2)))</f>
        <v>0</v>
      </c>
      <c r="AC19" s="203" cm="1">
        <f t="array" aca="1" ref="AC19" ca="1">IF($R17=2,
         IF(AND(ACOMPANHAMENTO="PLE",ISNUMBER($F17)),
                SUMIF((OFFSET(CÁLCULO!$AM$15:$AW$15,$F17,0,OFFSET(ORÇAMENTO!$D$15,CRONO!$F17,0))),CRONO!AC$12,OFFSET(CÁLCULO!$AB$15:$AL$15,$F17,0,OFFSET(ORÇAMENTO!$D$15,CRONO!$F17,0)))
                +IF(AND($F19&lt;&gt;"",$F19&lt;&gt;0),
                        SUMIF(CÁLCULO!$AM$15:$AW$27,CRONO!AC$12,CÁLCULO!$AB$15:$AL$27)/(ORÇAMENTO!$X$15-_xlfn.SINGLE(CÁLCULO.TotalAdmLocal))*CRONO!$F19,
                        0),
                 AC18*$S17),
          SUMIF(OFFSET($S19,1,0,$R17-2),($M17+1)&amp;"$",OFFSET(AC19,1,0,$R17-2)))</f>
        <v>0</v>
      </c>
      <c r="AD19" s="203" cm="1">
        <f t="array" aca="1" ref="AD19" ca="1">IF($R17=2,
         IF(AND(ACOMPANHAMENTO="PLE",ISNUMBER($F17)),
                SUMIF((OFFSET(CÁLCULO!$AM$15:$AW$15,$F17,0,OFFSET(ORÇAMENTO!$D$15,CRONO!$F17,0))),CRONO!AD$12,OFFSET(CÁLCULO!$AB$15:$AL$15,$F17,0,OFFSET(ORÇAMENTO!$D$15,CRONO!$F17,0)))
                +IF(AND($F19&lt;&gt;"",$F19&lt;&gt;0),
                        SUMIF(CÁLCULO!$AM$15:$AW$27,CRONO!AD$12,CÁLCULO!$AB$15:$AL$27)/(ORÇAMENTO!$X$15-_xlfn.SINGLE(CÁLCULO.TotalAdmLocal))*CRONO!$F19,
                        0),
                 AD18*$S17),
          SUMIF(OFFSET($S19,1,0,$R17-2),($M17+1)&amp;"$",OFFSET(AD19,1,0,$R17-2)))</f>
        <v>0</v>
      </c>
      <c r="AE19" s="203" cm="1">
        <f t="array" aca="1" ref="AE19" ca="1">IF($R17=2,
         IF(AND(ACOMPANHAMENTO="PLE",ISNUMBER($F17)),
                SUMIF((OFFSET(CÁLCULO!$AM$15:$AW$15,$F17,0,OFFSET(ORÇAMENTO!$D$15,CRONO!$F17,0))),CRONO!AE$12,OFFSET(CÁLCULO!$AB$15:$AL$15,$F17,0,OFFSET(ORÇAMENTO!$D$15,CRONO!$F17,0)))
                +IF(AND($F19&lt;&gt;"",$F19&lt;&gt;0),
                        SUMIF(CÁLCULO!$AM$15:$AW$27,CRONO!AE$12,CÁLCULO!$AB$15:$AL$27)/(ORÇAMENTO!$X$15-_xlfn.SINGLE(CÁLCULO.TotalAdmLocal))*CRONO!$F19,
                        0),
                 AE18*$S17),
          SUMIF(OFFSET($S19,1,0,$R17-2),($M17+1)&amp;"$",OFFSET(AE19,1,0,$R17-2)))</f>
        <v>0</v>
      </c>
      <c r="AF19" s="203" cm="1">
        <f t="array" aca="1" ref="AF19" ca="1">IF($R17=2,
         IF(AND(ACOMPANHAMENTO="PLE",ISNUMBER($F17)),
                SUMIF((OFFSET(CÁLCULO!$AM$15:$AW$15,$F17,0,OFFSET(ORÇAMENTO!$D$15,CRONO!$F17,0))),CRONO!AF$12,OFFSET(CÁLCULO!$AB$15:$AL$15,$F17,0,OFFSET(ORÇAMENTO!$D$15,CRONO!$F17,0)))
                +IF(AND($F19&lt;&gt;"",$F19&lt;&gt;0),
                        SUMIF(CÁLCULO!$AM$15:$AW$27,CRONO!AF$12,CÁLCULO!$AB$15:$AL$27)/(ORÇAMENTO!$X$15-_xlfn.SINGLE(CÁLCULO.TotalAdmLocal))*CRONO!$F19,
                        0),
                 AF18*$S17),
          SUMIF(OFFSET($S19,1,0,$R17-2),($M17+1)&amp;"$",OFFSET(AF19,1,0,$R17-2)))</f>
        <v>0</v>
      </c>
      <c r="AG19" s="535"/>
    </row>
    <row r="20" spans="1:33" x14ac:dyDescent="0.2">
      <c r="A20" s="187" t="e">
        <f t="shared" ref="A20" ca="1" si="14">IF($M20&gt;1,_xlfn.CONCAT($I20," ",$J20),"")</f>
        <v>#NAME?</v>
      </c>
      <c r="B20" s="186">
        <f t="shared" ref="B20" ca="1" si="15">OFFSET(B20,-3,0)+1</f>
        <v>3</v>
      </c>
      <c r="C20" s="186">
        <f ca="1">IF($R20&lt;&gt;2,0,IF($S20=0,1,IF(F21&gt;0,OFFSET(QCI!$M$13,SUBSTITUTE(F21,".",""),0),OFFSET(ORÇAMENTO!$AA$15,CRONO!$F20,0))/$S20))</f>
        <v>1</v>
      </c>
      <c r="D20" s="186">
        <f ca="1">IF($R20&lt;&gt;2,0,IF($S20=0,1,IF(F21&gt;0,OFFSET(QCI!$N$13,SUBSTITUTE(F21,".",""),0),OFFSET(ORÇAMENTO!$AB$15,CRONO!$F20,0))/$S20))</f>
        <v>1</v>
      </c>
      <c r="E20" s="189" cm="1">
        <f t="array" aca="1" ref="E20" ca="1">IF(AND($R20=2,ACOMPANHAMENTO="BM"),ROUND(E21,4),E22/$S20)</f>
        <v>0</v>
      </c>
      <c r="F20" s="186">
        <f ca="1">IF(B20&lt;=ORÇAMENTO.MáximoListaCrono,MATCH(B20,ORÇAMENTO.ListaCrono,0),NA())</f>
        <v>6</v>
      </c>
      <c r="G20" s="186" t="str">
        <f t="shared" ref="G20" ca="1" si="16">IF(AND($F21&lt;&gt;-1,$S20&gt;0),"F","")</f>
        <v/>
      </c>
      <c r="H20" s="190" t="str" cm="1">
        <f t="array" aca="1" ref="H20" ca="1">IF(OR(S20=0,S20=""),"Linha",IF(AND(OR(ACOMPANHAMENTO="PLE",$R20&lt;&gt;2),$F21=0),"Linha",ROUND(1-SUM(U20:AG20),4)))</f>
        <v>Linha</v>
      </c>
      <c r="I20" s="191" t="str">
        <f ca="1">IF($F21=0,OFFSET(ORÇAMENTO!O$15,$F20,0),IF($F21&lt;&gt;-1,OFFSET(QCI!$D$13,$F21,0),""))</f>
        <v>1.2.</v>
      </c>
      <c r="J20" s="192" t="str">
        <f ca="1">IF($F21=0,OFFSET(ORÇAMENTO!R$15,$F20,0),IF($F21&lt;&gt;-1,OFFSET(QCI!$G$13,$F21,0),""))</f>
        <v>ESTRUTURAS</v>
      </c>
      <c r="K20" s="192"/>
      <c r="L20" s="192"/>
      <c r="M20" s="193">
        <f ca="1">IF($F21=0,OFFSET(ORÇAMENTO!C$15,$F20,0),1)</f>
        <v>2</v>
      </c>
      <c r="N20" s="194">
        <f ca="1">IF($F21=-1,0,IF(N$13&lt;=$M20,IF(ISERROR(MATCH(N$13,OFFSET($M20,1,0,ROW($M$26)-ROW($M20)-1),0)),ROW($M$26)-ROW($M20)-1,MATCH(N$13,OFFSET($M20,1,0,ROW($M$26)-ROW($M20)-1),0)-1),0))</f>
        <v>5</v>
      </c>
      <c r="O20" s="194">
        <f ca="1">IF($F21=-1,0,IF(O$13&lt;=$M20,IF(ISERROR(MATCH(O$13,OFFSET($M20,1,0,ROW($M$26)-ROW($M20)-1),0)),ROW($M$26)-ROW($M20)-1,MATCH(O$13,OFFSET($M20,1,0,ROW($M$26)-ROW($M20)-1),0)-1),0))</f>
        <v>2</v>
      </c>
      <c r="P20" s="194">
        <f ca="1">IF($F21=-1,0,IF(P$13&lt;=$M20,IF(ISERROR(MATCH(P$13,OFFSET($M20,1,0,ROW($M$26)-ROW($M20)-1),0)),ROW($M$26)-ROW($M20)-1,MATCH(P$13,OFFSET($M20,1,0,ROW($M$26)-ROW($M20)-1),0)-1),0))</f>
        <v>0</v>
      </c>
      <c r="Q20" s="194">
        <f ca="1">IF($F21=-1,0,IF(Q$13&lt;=$M20,IF(ISERROR(MATCH(Q$13,OFFSET($M20,1,0,ROW($M$26)-ROW($M20)-1),0)),ROW($M$26)-ROW($M20)-1,MATCH(Q$13,OFFSET($M20,1,0,ROW($M$26)-ROW($M20)-1),0)-1),0))</f>
        <v>0</v>
      </c>
      <c r="R20" s="194">
        <f t="shared" ref="R20" ca="1" si="17">MIN(OFFSET(M20,0,1,,M20))</f>
        <v>2</v>
      </c>
      <c r="S20" s="195">
        <f ca="1">IF($F21=0,OFFSET(ORÇAMENTO!X$15,$F20,0),IF($F21&lt;&gt;-1,OFFSET(QCI!$O$13,$F21,0),""))</f>
        <v>0</v>
      </c>
      <c r="T20" s="196" t="s">
        <v>790</v>
      </c>
      <c r="U20" s="189" cm="1">
        <f t="array" aca="1" ref="U20" ca="1">IF(AND($R20=2,ACOMPANHAMENTO="BM"),ROUND(U21,4),U22/$S20)</f>
        <v>0.5</v>
      </c>
      <c r="V20" s="189" cm="1">
        <f t="array" aca="1" ref="V20" ca="1">IF(AND($R20=2,ACOMPANHAMENTO="BM"),ROUND(V21,4),V22/$S20)</f>
        <v>0.5</v>
      </c>
      <c r="W20" s="189" cm="1">
        <f t="array" aca="1" ref="W20" ca="1">IF(AND($R20=2,ACOMPANHAMENTO="BM"),ROUND(W21,4),W22/$S20)</f>
        <v>0</v>
      </c>
      <c r="X20" s="189" cm="1">
        <f t="array" aca="1" ref="X20" ca="1">IF(AND($R20=2,ACOMPANHAMENTO="BM"),ROUND(X21,4),X22/$S20)</f>
        <v>0</v>
      </c>
      <c r="Y20" s="189" cm="1">
        <f t="array" aca="1" ref="Y20" ca="1">IF(AND($R20=2,ACOMPANHAMENTO="BM"),ROUND(Y21,4),Y22/$S20)</f>
        <v>0</v>
      </c>
      <c r="Z20" s="189" cm="1">
        <f t="array" aca="1" ref="Z20" ca="1">IF(AND($R20=2,ACOMPANHAMENTO="BM"),ROUND(Z21,4),Z22/$S20)</f>
        <v>0</v>
      </c>
      <c r="AA20" s="189" cm="1">
        <f t="array" aca="1" ref="AA20" ca="1">IF(AND($R20=2,ACOMPANHAMENTO="BM"),ROUND(AA21,4),AA22/$S20)</f>
        <v>0</v>
      </c>
      <c r="AB20" s="189" cm="1">
        <f t="array" aca="1" ref="AB20" ca="1">IF(AND($R20=2,ACOMPANHAMENTO="BM"),ROUND(AB21,4),AB22/$S20)</f>
        <v>0</v>
      </c>
      <c r="AC20" s="189" cm="1">
        <f t="array" aca="1" ref="AC20" ca="1">IF(AND($R20=2,ACOMPANHAMENTO="BM"),ROUND(AC21,4),AC22/$S20)</f>
        <v>0</v>
      </c>
      <c r="AD20" s="189" cm="1">
        <f t="array" aca="1" ref="AD20" ca="1">IF(AND($R20=2,ACOMPANHAMENTO="BM"),ROUND(AD21,4),AD22/$S20)</f>
        <v>0</v>
      </c>
      <c r="AE20" s="189" cm="1">
        <f t="array" aca="1" ref="AE20" ca="1">IF(AND($R20=2,ACOMPANHAMENTO="BM"),ROUND(AE21,4),AE22/$S20)</f>
        <v>0</v>
      </c>
      <c r="AF20" s="189" cm="1">
        <f t="array" aca="1" ref="AF20" ca="1">IF(AND($R20=2,ACOMPANHAMENTO="BM"),ROUND(AF21,4),AF22/$S20)</f>
        <v>0</v>
      </c>
      <c r="AG20" s="535"/>
    </row>
    <row r="21" spans="1:33" ht="12.75" customHeight="1" x14ac:dyDescent="0.2">
      <c r="E21" s="594"/>
      <c r="F21" s="186">
        <f ca="1">IF(ISERROR(F20),IF(1+COUNTIF($M$13:OFFSET(M20,-1,0),1)&lt;=MAX(QCI!$D$13:$D$24),1+COUNTIF($M$13:OFFSET(M20,-1,0),1),-1),0)</f>
        <v>0</v>
      </c>
      <c r="G21" s="186" t="str" cm="1">
        <f t="array" aca="1" ref="G21" ca="1">IF(ACOMPANHAMENTO="BM",OFFSET(G21,-1,0),"")</f>
        <v/>
      </c>
      <c r="H21" s="197" t="str" cm="1">
        <f t="array" aca="1" ref="H21" ca="1">IF(OR(S20=0,S20=""),"vazia",IF(AND(OR(ACOMPANHAMENTO="PLE",$R20&lt;&gt;2),$F21=0),"calculada","--&gt;"))</f>
        <v>vazia</v>
      </c>
      <c r="I21" s="198"/>
      <c r="J21" s="199" t="str">
        <f t="shared" ref="J21" ca="1" si="18">IF(AND(H20&lt;&gt;0,ISNUMBER(H20)),"PREENCHA ESTA LINHA --&gt;","")</f>
        <v/>
      </c>
      <c r="K21" s="199"/>
      <c r="L21" s="199"/>
      <c r="M21" s="200"/>
      <c r="N21" s="200"/>
      <c r="O21" s="200"/>
      <c r="P21" s="200"/>
      <c r="Q21" s="200"/>
      <c r="R21" s="200"/>
      <c r="S21" s="201"/>
      <c r="T21" s="202"/>
      <c r="U21" s="594">
        <v>0.5</v>
      </c>
      <c r="V21" s="594">
        <v>0.5</v>
      </c>
      <c r="W21" s="594"/>
      <c r="X21" s="594"/>
      <c r="Y21" s="594"/>
      <c r="Z21" s="594"/>
      <c r="AA21" s="594"/>
      <c r="AB21" s="594"/>
      <c r="AC21" s="594"/>
      <c r="AD21" s="594"/>
      <c r="AE21" s="594"/>
      <c r="AF21" s="594"/>
      <c r="AG21" s="535"/>
    </row>
    <row r="22" spans="1:33" ht="12.75" hidden="1" customHeight="1" x14ac:dyDescent="0.2">
      <c r="D22" s="534"/>
      <c r="E22" s="203" cm="1">
        <f t="array" aca="1" ref="E22" ca="1">IF($R20=2,
         IF(AND(ACOMPANHAMENTO="PLE",ISNUMBER($F20)),
                SUMIF((OFFSET(CÁLCULO!$AM$15:$AW$15,$F20,0,OFFSET(ORÇAMENTO!$D$15,CRONO!$F20,0))),CRONO!E$12,OFFSET(CÁLCULO!$AB$15:$AL$15,$F20,0,OFFSET(ORÇAMENTO!$D$15,CRONO!$F20,0)))
                +IF(AND($F22&lt;&gt;"",$F22&lt;&gt;0),
                        SUMIF(CÁLCULO!$AM$15:$AW$27,CRONO!E$12,CÁLCULO!$AB$15:$AL$27)/(ORÇAMENTO!$X$15-_xlfn.SINGLE(CÁLCULO.TotalAdmLocal))*CRONO!$F22,
                        0),
                 E21*$S20),
          SUMIF(OFFSET($S22,1,0,$R20-2),($M20+1)&amp;"$",OFFSET(E22,1,0,$R20-2)))</f>
        <v>0</v>
      </c>
      <c r="F22" s="186" t="str">
        <f ca="1">IF(OR($R20&lt;&gt;2,AUTOEVENTO&lt;&gt;"manual",$F21&gt;0),"",
        IF(Import.TipoArredondamento="Tradicional",
              SUMIF(OFFSET(CÁLCULO!$M$15,CRONO!$F20,0,OFFSET(ORÇAMENTO!$D$15,CRONO!$F20,0)),1,OFFSET(ORÇAMENTO!$X$15,CRONO!$F20,0,OFFSET(ORÇAMENTO!$D$15,CRONO!$F20,0))),
              0))</f>
        <v/>
      </c>
      <c r="H22" s="204"/>
      <c r="S22" s="205" t="str">
        <f t="shared" ref="S22" ca="1" si="19">M20&amp;"$"</f>
        <v>2$</v>
      </c>
      <c r="T22" s="206"/>
      <c r="U22" s="203" cm="1">
        <f t="array" aca="1" ref="U22" ca="1">IF($R20=2,
         IF(AND(ACOMPANHAMENTO="PLE",ISNUMBER($F20)),
                SUMIF((OFFSET(CÁLCULO!$AM$15:$AW$15,$F20,0,OFFSET(ORÇAMENTO!$D$15,CRONO!$F20,0))),CRONO!U$12,OFFSET(CÁLCULO!$AB$15:$AL$15,$F20,0,OFFSET(ORÇAMENTO!$D$15,CRONO!$F20,0)))
                +IF(AND($F22&lt;&gt;"",$F22&lt;&gt;0),
                        SUMIF(CÁLCULO!$AM$15:$AW$27,CRONO!U$12,CÁLCULO!$AB$15:$AL$27)/(ORÇAMENTO!$X$15-_xlfn.SINGLE(CÁLCULO.TotalAdmLocal))*CRONO!$F22,
                        0),
                 U21*$S20),
          SUMIF(OFFSET($S22,1,0,$R20-2),($M20+1)&amp;"$",OFFSET(U22,1,0,$R20-2)))</f>
        <v>0</v>
      </c>
      <c r="V22" s="203" cm="1">
        <f t="array" aca="1" ref="V22" ca="1">IF($R20=2,
         IF(AND(ACOMPANHAMENTO="PLE",ISNUMBER($F20)),
                SUMIF((OFFSET(CÁLCULO!$AM$15:$AW$15,$F20,0,OFFSET(ORÇAMENTO!$D$15,CRONO!$F20,0))),CRONO!V$12,OFFSET(CÁLCULO!$AB$15:$AL$15,$F20,0,OFFSET(ORÇAMENTO!$D$15,CRONO!$F20,0)))
                +IF(AND($F22&lt;&gt;"",$F22&lt;&gt;0),
                        SUMIF(CÁLCULO!$AM$15:$AW$27,CRONO!V$12,CÁLCULO!$AB$15:$AL$27)/(ORÇAMENTO!$X$15-_xlfn.SINGLE(CÁLCULO.TotalAdmLocal))*CRONO!$F22,
                        0),
                 V21*$S20),
          SUMIF(OFFSET($S22,1,0,$R20-2),($M20+1)&amp;"$",OFFSET(V22,1,0,$R20-2)))</f>
        <v>0</v>
      </c>
      <c r="W22" s="203" cm="1">
        <f t="array" aca="1" ref="W22" ca="1">IF($R20=2,
         IF(AND(ACOMPANHAMENTO="PLE",ISNUMBER($F20)),
                SUMIF((OFFSET(CÁLCULO!$AM$15:$AW$15,$F20,0,OFFSET(ORÇAMENTO!$D$15,CRONO!$F20,0))),CRONO!W$12,OFFSET(CÁLCULO!$AB$15:$AL$15,$F20,0,OFFSET(ORÇAMENTO!$D$15,CRONO!$F20,0)))
                +IF(AND($F22&lt;&gt;"",$F22&lt;&gt;0),
                        SUMIF(CÁLCULO!$AM$15:$AW$27,CRONO!W$12,CÁLCULO!$AB$15:$AL$27)/(ORÇAMENTO!$X$15-_xlfn.SINGLE(CÁLCULO.TotalAdmLocal))*CRONO!$F22,
                        0),
                 W21*$S20),
          SUMIF(OFFSET($S22,1,0,$R20-2),($M20+1)&amp;"$",OFFSET(W22,1,0,$R20-2)))</f>
        <v>0</v>
      </c>
      <c r="X22" s="203" cm="1">
        <f t="array" aca="1" ref="X22" ca="1">IF($R20=2,
         IF(AND(ACOMPANHAMENTO="PLE",ISNUMBER($F20)),
                SUMIF((OFFSET(CÁLCULO!$AM$15:$AW$15,$F20,0,OFFSET(ORÇAMENTO!$D$15,CRONO!$F20,0))),CRONO!X$12,OFFSET(CÁLCULO!$AB$15:$AL$15,$F20,0,OFFSET(ORÇAMENTO!$D$15,CRONO!$F20,0)))
                +IF(AND($F22&lt;&gt;"",$F22&lt;&gt;0),
                        SUMIF(CÁLCULO!$AM$15:$AW$27,CRONO!X$12,CÁLCULO!$AB$15:$AL$27)/(ORÇAMENTO!$X$15-_xlfn.SINGLE(CÁLCULO.TotalAdmLocal))*CRONO!$F22,
                        0),
                 X21*$S20),
          SUMIF(OFFSET($S22,1,0,$R20-2),($M20+1)&amp;"$",OFFSET(X22,1,0,$R20-2)))</f>
        <v>0</v>
      </c>
      <c r="Y22" s="203" cm="1">
        <f t="array" aca="1" ref="Y22" ca="1">IF($R20=2,
         IF(AND(ACOMPANHAMENTO="PLE",ISNUMBER($F20)),
                SUMIF((OFFSET(CÁLCULO!$AM$15:$AW$15,$F20,0,OFFSET(ORÇAMENTO!$D$15,CRONO!$F20,0))),CRONO!Y$12,OFFSET(CÁLCULO!$AB$15:$AL$15,$F20,0,OFFSET(ORÇAMENTO!$D$15,CRONO!$F20,0)))
                +IF(AND($F22&lt;&gt;"",$F22&lt;&gt;0),
                        SUMIF(CÁLCULO!$AM$15:$AW$27,CRONO!Y$12,CÁLCULO!$AB$15:$AL$27)/(ORÇAMENTO!$X$15-_xlfn.SINGLE(CÁLCULO.TotalAdmLocal))*CRONO!$F22,
                        0),
                 Y21*$S20),
          SUMIF(OFFSET($S22,1,0,$R20-2),($M20+1)&amp;"$",OFFSET(Y22,1,0,$R20-2)))</f>
        <v>0</v>
      </c>
      <c r="Z22" s="203" cm="1">
        <f t="array" aca="1" ref="Z22" ca="1">IF($R20=2,
         IF(AND(ACOMPANHAMENTO="PLE",ISNUMBER($F20)),
                SUMIF((OFFSET(CÁLCULO!$AM$15:$AW$15,$F20,0,OFFSET(ORÇAMENTO!$D$15,CRONO!$F20,0))),CRONO!Z$12,OFFSET(CÁLCULO!$AB$15:$AL$15,$F20,0,OFFSET(ORÇAMENTO!$D$15,CRONO!$F20,0)))
                +IF(AND($F22&lt;&gt;"",$F22&lt;&gt;0),
                        SUMIF(CÁLCULO!$AM$15:$AW$27,CRONO!Z$12,CÁLCULO!$AB$15:$AL$27)/(ORÇAMENTO!$X$15-_xlfn.SINGLE(CÁLCULO.TotalAdmLocal))*CRONO!$F22,
                        0),
                 Z21*$S20),
          SUMIF(OFFSET($S22,1,0,$R20-2),($M20+1)&amp;"$",OFFSET(Z22,1,0,$R20-2)))</f>
        <v>0</v>
      </c>
      <c r="AA22" s="203" cm="1">
        <f t="array" aca="1" ref="AA22" ca="1">IF($R20=2,
         IF(AND(ACOMPANHAMENTO="PLE",ISNUMBER($F20)),
                SUMIF((OFFSET(CÁLCULO!$AM$15:$AW$15,$F20,0,OFFSET(ORÇAMENTO!$D$15,CRONO!$F20,0))),CRONO!AA$12,OFFSET(CÁLCULO!$AB$15:$AL$15,$F20,0,OFFSET(ORÇAMENTO!$D$15,CRONO!$F20,0)))
                +IF(AND($F22&lt;&gt;"",$F22&lt;&gt;0),
                        SUMIF(CÁLCULO!$AM$15:$AW$27,CRONO!AA$12,CÁLCULO!$AB$15:$AL$27)/(ORÇAMENTO!$X$15-_xlfn.SINGLE(CÁLCULO.TotalAdmLocal))*CRONO!$F22,
                        0),
                 AA21*$S20),
          SUMIF(OFFSET($S22,1,0,$R20-2),($M20+1)&amp;"$",OFFSET(AA22,1,0,$R20-2)))</f>
        <v>0</v>
      </c>
      <c r="AB22" s="203" cm="1">
        <f t="array" aca="1" ref="AB22" ca="1">IF($R20=2,
         IF(AND(ACOMPANHAMENTO="PLE",ISNUMBER($F20)),
                SUMIF((OFFSET(CÁLCULO!$AM$15:$AW$15,$F20,0,OFFSET(ORÇAMENTO!$D$15,CRONO!$F20,0))),CRONO!AB$12,OFFSET(CÁLCULO!$AB$15:$AL$15,$F20,0,OFFSET(ORÇAMENTO!$D$15,CRONO!$F20,0)))
                +IF(AND($F22&lt;&gt;"",$F22&lt;&gt;0),
                        SUMIF(CÁLCULO!$AM$15:$AW$27,CRONO!AB$12,CÁLCULO!$AB$15:$AL$27)/(ORÇAMENTO!$X$15-_xlfn.SINGLE(CÁLCULO.TotalAdmLocal))*CRONO!$F22,
                        0),
                 AB21*$S20),
          SUMIF(OFFSET($S22,1,0,$R20-2),($M20+1)&amp;"$",OFFSET(AB22,1,0,$R20-2)))</f>
        <v>0</v>
      </c>
      <c r="AC22" s="203" cm="1">
        <f t="array" aca="1" ref="AC22" ca="1">IF($R20=2,
         IF(AND(ACOMPANHAMENTO="PLE",ISNUMBER($F20)),
                SUMIF((OFFSET(CÁLCULO!$AM$15:$AW$15,$F20,0,OFFSET(ORÇAMENTO!$D$15,CRONO!$F20,0))),CRONO!AC$12,OFFSET(CÁLCULO!$AB$15:$AL$15,$F20,0,OFFSET(ORÇAMENTO!$D$15,CRONO!$F20,0)))
                +IF(AND($F22&lt;&gt;"",$F22&lt;&gt;0),
                        SUMIF(CÁLCULO!$AM$15:$AW$27,CRONO!AC$12,CÁLCULO!$AB$15:$AL$27)/(ORÇAMENTO!$X$15-_xlfn.SINGLE(CÁLCULO.TotalAdmLocal))*CRONO!$F22,
                        0),
                 AC21*$S20),
          SUMIF(OFFSET($S22,1,0,$R20-2),($M20+1)&amp;"$",OFFSET(AC22,1,0,$R20-2)))</f>
        <v>0</v>
      </c>
      <c r="AD22" s="203" cm="1">
        <f t="array" aca="1" ref="AD22" ca="1">IF($R20=2,
         IF(AND(ACOMPANHAMENTO="PLE",ISNUMBER($F20)),
                SUMIF((OFFSET(CÁLCULO!$AM$15:$AW$15,$F20,0,OFFSET(ORÇAMENTO!$D$15,CRONO!$F20,0))),CRONO!AD$12,OFFSET(CÁLCULO!$AB$15:$AL$15,$F20,0,OFFSET(ORÇAMENTO!$D$15,CRONO!$F20,0)))
                +IF(AND($F22&lt;&gt;"",$F22&lt;&gt;0),
                        SUMIF(CÁLCULO!$AM$15:$AW$27,CRONO!AD$12,CÁLCULO!$AB$15:$AL$27)/(ORÇAMENTO!$X$15-_xlfn.SINGLE(CÁLCULO.TotalAdmLocal))*CRONO!$F22,
                        0),
                 AD21*$S20),
          SUMIF(OFFSET($S22,1,0,$R20-2),($M20+1)&amp;"$",OFFSET(AD22,1,0,$R20-2)))</f>
        <v>0</v>
      </c>
      <c r="AE22" s="203" cm="1">
        <f t="array" aca="1" ref="AE22" ca="1">IF($R20=2,
         IF(AND(ACOMPANHAMENTO="PLE",ISNUMBER($F20)),
                SUMIF((OFFSET(CÁLCULO!$AM$15:$AW$15,$F20,0,OFFSET(ORÇAMENTO!$D$15,CRONO!$F20,0))),CRONO!AE$12,OFFSET(CÁLCULO!$AB$15:$AL$15,$F20,0,OFFSET(ORÇAMENTO!$D$15,CRONO!$F20,0)))
                +IF(AND($F22&lt;&gt;"",$F22&lt;&gt;0),
                        SUMIF(CÁLCULO!$AM$15:$AW$27,CRONO!AE$12,CÁLCULO!$AB$15:$AL$27)/(ORÇAMENTO!$X$15-_xlfn.SINGLE(CÁLCULO.TotalAdmLocal))*CRONO!$F22,
                        0),
                 AE21*$S20),
          SUMIF(OFFSET($S22,1,0,$R20-2),($M20+1)&amp;"$",OFFSET(AE22,1,0,$R20-2)))</f>
        <v>0</v>
      </c>
      <c r="AF22" s="203" cm="1">
        <f t="array" aca="1" ref="AF22" ca="1">IF($R20=2,
         IF(AND(ACOMPANHAMENTO="PLE",ISNUMBER($F20)),
                SUMIF((OFFSET(CÁLCULO!$AM$15:$AW$15,$F20,0,OFFSET(ORÇAMENTO!$D$15,CRONO!$F20,0))),CRONO!AF$12,OFFSET(CÁLCULO!$AB$15:$AL$15,$F20,0,OFFSET(ORÇAMENTO!$D$15,CRONO!$F20,0)))
                +IF(AND($F22&lt;&gt;"",$F22&lt;&gt;0),
                        SUMIF(CÁLCULO!$AM$15:$AW$27,CRONO!AF$12,CÁLCULO!$AB$15:$AL$27)/(ORÇAMENTO!$X$15-_xlfn.SINGLE(CÁLCULO.TotalAdmLocal))*CRONO!$F22,
                        0),
                 AF21*$S20),
          SUMIF(OFFSET($S22,1,0,$R20-2),($M20+1)&amp;"$",OFFSET(AF22,1,0,$R20-2)))</f>
        <v>0</v>
      </c>
      <c r="AG22" s="535"/>
    </row>
    <row r="23" spans="1:33" x14ac:dyDescent="0.2">
      <c r="A23" s="187" t="e">
        <f t="shared" ref="A23" ca="1" si="20">IF($M23&gt;1,_xlfn.CONCAT($I23," ",$J23),"")</f>
        <v>#NAME?</v>
      </c>
      <c r="B23" s="186">
        <f t="shared" ref="B23" ca="1" si="21">OFFSET(B23,-3,0)+1</f>
        <v>4</v>
      </c>
      <c r="C23" s="186">
        <f ca="1">IF($R23&lt;&gt;2,0,IF($S23=0,1,IF(F24&gt;0,OFFSET(QCI!$M$13,SUBSTITUTE(F24,".",""),0),OFFSET(ORÇAMENTO!$AA$15,CRONO!$F23,0))/$S23))</f>
        <v>1</v>
      </c>
      <c r="D23" s="186">
        <f ca="1">IF($R23&lt;&gt;2,0,IF($S23=0,1,IF(F24&gt;0,OFFSET(QCI!$N$13,SUBSTITUTE(F24,".",""),0),OFFSET(ORÇAMENTO!$AB$15,CRONO!$F23,0))/$S23))</f>
        <v>1</v>
      </c>
      <c r="E23" s="189" cm="1">
        <f t="array" aca="1" ref="E23" ca="1">IF(AND($R23=2,ACOMPANHAMENTO="BM"),ROUND(E24,4),E25/$S23)</f>
        <v>0</v>
      </c>
      <c r="F23" s="186">
        <f ca="1">IF(B23&lt;=ORÇAMENTO.MáximoListaCrono,MATCH(B23,ORÇAMENTO.ListaCrono,0),NA())</f>
        <v>10</v>
      </c>
      <c r="G23" s="186" t="str">
        <f t="shared" ref="G23" ca="1" si="22">IF(AND($F24&lt;&gt;-1,$S23&gt;0),"F","")</f>
        <v/>
      </c>
      <c r="H23" s="190" t="str" cm="1">
        <f t="array" aca="1" ref="H23" ca="1">IF(OR(S23=0,S23=""),"Linha",IF(AND(OR(ACOMPANHAMENTO="PLE",$R23&lt;&gt;2),$F24=0),"Linha",ROUND(1-SUM(U23:AG23),4)))</f>
        <v>Linha</v>
      </c>
      <c r="I23" s="191" t="str">
        <f ca="1">IF($F24=0,OFFSET(ORÇAMENTO!O$15,$F23,0),IF($F24&lt;&gt;-1,OFFSET(QCI!$D$13,$F24,0),""))</f>
        <v>1.3.</v>
      </c>
      <c r="J23" s="192" t="str">
        <f ca="1">IF($F24=0,OFFSET(ORÇAMENTO!R$15,$F23,0),IF($F24&lt;&gt;-1,OFFSET(QCI!$G$13,$F24,0),""))</f>
        <v>COBERTURA</v>
      </c>
      <c r="K23" s="192"/>
      <c r="L23" s="192"/>
      <c r="M23" s="193">
        <f ca="1">IF($F24=0,OFFSET(ORÇAMENTO!C$15,$F23,0),1)</f>
        <v>2</v>
      </c>
      <c r="N23" s="194">
        <f ca="1">IF($F24=-1,0,IF(N$13&lt;=$M23,IF(ISERROR(MATCH(N$13,OFFSET($M23,1,0,ROW($M$26)-ROW($M23)-1),0)),ROW($M$26)-ROW($M23)-1,MATCH(N$13,OFFSET($M23,1,0,ROW($M$26)-ROW($M23)-1),0)-1),0))</f>
        <v>2</v>
      </c>
      <c r="O23" s="194">
        <f ca="1">IF($F24=-1,0,IF(O$13&lt;=$M23,IF(ISERROR(MATCH(O$13,OFFSET($M23,1,0,ROW($M$26)-ROW($M23)-1),0)),ROW($M$26)-ROW($M23)-1,MATCH(O$13,OFFSET($M23,1,0,ROW($M$26)-ROW($M23)-1),0)-1),0))</f>
        <v>2</v>
      </c>
      <c r="P23" s="194">
        <f ca="1">IF($F24=-1,0,IF(P$13&lt;=$M23,IF(ISERROR(MATCH(P$13,OFFSET($M23,1,0,ROW($M$26)-ROW($M23)-1),0)),ROW($M$26)-ROW($M23)-1,MATCH(P$13,OFFSET($M23,1,0,ROW($M$26)-ROW($M23)-1),0)-1),0))</f>
        <v>0</v>
      </c>
      <c r="Q23" s="194">
        <f ca="1">IF($F24=-1,0,IF(Q$13&lt;=$M23,IF(ISERROR(MATCH(Q$13,OFFSET($M23,1,0,ROW($M$26)-ROW($M23)-1),0)),ROW($M$26)-ROW($M23)-1,MATCH(Q$13,OFFSET($M23,1,0,ROW($M$26)-ROW($M23)-1),0)-1),0))</f>
        <v>0</v>
      </c>
      <c r="R23" s="194">
        <f t="shared" ref="R23" ca="1" si="23">MIN(OFFSET(M23,0,1,,M23))</f>
        <v>2</v>
      </c>
      <c r="S23" s="195">
        <f ca="1">IF($F24=0,OFFSET(ORÇAMENTO!X$15,$F23,0),IF($F24&lt;&gt;-1,OFFSET(QCI!$O$13,$F24,0),""))</f>
        <v>0</v>
      </c>
      <c r="T23" s="196" t="s">
        <v>790</v>
      </c>
      <c r="U23" s="189" cm="1">
        <f t="array" aca="1" ref="U23" ca="1">IF(AND($R23=2,ACOMPANHAMENTO="BM"),ROUND(U24,4),U25/$S23)</f>
        <v>0</v>
      </c>
      <c r="V23" s="189" cm="1">
        <f t="array" aca="1" ref="V23" ca="1">IF(AND($R23=2,ACOMPANHAMENTO="BM"),ROUND(V24,4),V25/$S23)</f>
        <v>0</v>
      </c>
      <c r="W23" s="189" cm="1">
        <f t="array" aca="1" ref="W23" ca="1">IF(AND($R23=2,ACOMPANHAMENTO="BM"),ROUND(W24,4),W25/$S23)</f>
        <v>1</v>
      </c>
      <c r="X23" s="189" cm="1">
        <f t="array" aca="1" ref="X23" ca="1">IF(AND($R23=2,ACOMPANHAMENTO="BM"),ROUND(X24,4),X25/$S23)</f>
        <v>0</v>
      </c>
      <c r="Y23" s="189" cm="1">
        <f t="array" aca="1" ref="Y23" ca="1">IF(AND($R23=2,ACOMPANHAMENTO="BM"),ROUND(Y24,4),Y25/$S23)</f>
        <v>0</v>
      </c>
      <c r="Z23" s="189" cm="1">
        <f t="array" aca="1" ref="Z23" ca="1">IF(AND($R23=2,ACOMPANHAMENTO="BM"),ROUND(Z24,4),Z25/$S23)</f>
        <v>0</v>
      </c>
      <c r="AA23" s="189" cm="1">
        <f t="array" aca="1" ref="AA23" ca="1">IF(AND($R23=2,ACOMPANHAMENTO="BM"),ROUND(AA24,4),AA25/$S23)</f>
        <v>0</v>
      </c>
      <c r="AB23" s="189" cm="1">
        <f t="array" aca="1" ref="AB23" ca="1">IF(AND($R23=2,ACOMPANHAMENTO="BM"),ROUND(AB24,4),AB25/$S23)</f>
        <v>0</v>
      </c>
      <c r="AC23" s="189" cm="1">
        <f t="array" aca="1" ref="AC23" ca="1">IF(AND($R23=2,ACOMPANHAMENTO="BM"),ROUND(AC24,4),AC25/$S23)</f>
        <v>0</v>
      </c>
      <c r="AD23" s="189" cm="1">
        <f t="array" aca="1" ref="AD23" ca="1">IF(AND($R23=2,ACOMPANHAMENTO="BM"),ROUND(AD24,4),AD25/$S23)</f>
        <v>0</v>
      </c>
      <c r="AE23" s="189" cm="1">
        <f t="array" aca="1" ref="AE23" ca="1">IF(AND($R23=2,ACOMPANHAMENTO="BM"),ROUND(AE24,4),AE25/$S23)</f>
        <v>0</v>
      </c>
      <c r="AF23" s="189" cm="1">
        <f t="array" aca="1" ref="AF23" ca="1">IF(AND($R23=2,ACOMPANHAMENTO="BM"),ROUND(AF24,4),AF25/$S23)</f>
        <v>0</v>
      </c>
      <c r="AG23" s="535"/>
    </row>
    <row r="24" spans="1:33" ht="12.75" customHeight="1" x14ac:dyDescent="0.2">
      <c r="E24" s="594"/>
      <c r="F24" s="186">
        <f ca="1">IF(ISERROR(F23),IF(1+COUNTIF($M$13:OFFSET(M23,-1,0),1)&lt;=MAX(QCI!$D$13:$D$24),1+COUNTIF($M$13:OFFSET(M23,-1,0),1),-1),0)</f>
        <v>0</v>
      </c>
      <c r="G24" s="186" t="str" cm="1">
        <f t="array" aca="1" ref="G24" ca="1">IF(ACOMPANHAMENTO="BM",OFFSET(G24,-1,0),"")</f>
        <v/>
      </c>
      <c r="H24" s="197" t="str" cm="1">
        <f t="array" aca="1" ref="H24" ca="1">IF(OR(S23=0,S23=""),"vazia",IF(AND(OR(ACOMPANHAMENTO="PLE",$R23&lt;&gt;2),$F24=0),"calculada","--&gt;"))</f>
        <v>vazia</v>
      </c>
      <c r="I24" s="198"/>
      <c r="J24" s="199" t="str">
        <f t="shared" ref="J24" ca="1" si="24">IF(AND(H23&lt;&gt;0,ISNUMBER(H23)),"PREENCHA ESTA LINHA --&gt;","")</f>
        <v/>
      </c>
      <c r="K24" s="199"/>
      <c r="L24" s="199"/>
      <c r="M24" s="200"/>
      <c r="N24" s="200"/>
      <c r="O24" s="200"/>
      <c r="P24" s="200"/>
      <c r="Q24" s="200"/>
      <c r="R24" s="200"/>
      <c r="S24" s="201"/>
      <c r="T24" s="202"/>
      <c r="U24" s="594"/>
      <c r="V24" s="594"/>
      <c r="W24" s="594">
        <v>1</v>
      </c>
      <c r="X24" s="594"/>
      <c r="Y24" s="594"/>
      <c r="Z24" s="594"/>
      <c r="AA24" s="594"/>
      <c r="AB24" s="594"/>
      <c r="AC24" s="594"/>
      <c r="AD24" s="594"/>
      <c r="AE24" s="594"/>
      <c r="AF24" s="594"/>
      <c r="AG24" s="535"/>
    </row>
    <row r="25" spans="1:33" ht="12.75" hidden="1" customHeight="1" x14ac:dyDescent="0.2">
      <c r="D25" s="534"/>
      <c r="E25" s="203" cm="1">
        <f t="array" aca="1" ref="E25" ca="1">IF($R23=2,
         IF(AND(ACOMPANHAMENTO="PLE",ISNUMBER($F23)),
                SUMIF((OFFSET(CÁLCULO!$AM$15:$AW$15,$F23,0,OFFSET(ORÇAMENTO!$D$15,CRONO!$F23,0))),CRONO!E$12,OFFSET(CÁLCULO!$AB$15:$AL$15,$F23,0,OFFSET(ORÇAMENTO!$D$15,CRONO!$F23,0)))
                +IF(AND($F25&lt;&gt;"",$F25&lt;&gt;0),
                        SUMIF(CÁLCULO!$AM$15:$AW$27,CRONO!E$12,CÁLCULO!$AB$15:$AL$27)/(ORÇAMENTO!$X$15-_xlfn.SINGLE(CÁLCULO.TotalAdmLocal))*CRONO!$F25,
                        0),
                 E24*$S23),
          SUMIF(OFFSET($S25,1,0,$R23-2),($M23+1)&amp;"$",OFFSET(E25,1,0,$R23-2)))</f>
        <v>0</v>
      </c>
      <c r="F25" s="186" t="str">
        <f ca="1">IF(OR($R23&lt;&gt;2,AUTOEVENTO&lt;&gt;"manual",$F24&gt;0),"",
        IF(Import.TipoArredondamento="Tradicional",
              SUMIF(OFFSET(CÁLCULO!$M$15,CRONO!$F23,0,OFFSET(ORÇAMENTO!$D$15,CRONO!$F23,0)),1,OFFSET(ORÇAMENTO!$X$15,CRONO!$F23,0,OFFSET(ORÇAMENTO!$D$15,CRONO!$F23,0))),
              0))</f>
        <v/>
      </c>
      <c r="H25" s="204"/>
      <c r="S25" s="205" t="str">
        <f t="shared" ref="S25" ca="1" si="25">M23&amp;"$"</f>
        <v>2$</v>
      </c>
      <c r="T25" s="206"/>
      <c r="U25" s="203" cm="1">
        <f t="array" aca="1" ref="U25" ca="1">IF($R23=2,
         IF(AND(ACOMPANHAMENTO="PLE",ISNUMBER($F23)),
                SUMIF((OFFSET(CÁLCULO!$AM$15:$AW$15,$F23,0,OFFSET(ORÇAMENTO!$D$15,CRONO!$F23,0))),CRONO!U$12,OFFSET(CÁLCULO!$AB$15:$AL$15,$F23,0,OFFSET(ORÇAMENTO!$D$15,CRONO!$F23,0)))
                +IF(AND($F25&lt;&gt;"",$F25&lt;&gt;0),
                        SUMIF(CÁLCULO!$AM$15:$AW$27,CRONO!U$12,CÁLCULO!$AB$15:$AL$27)/(ORÇAMENTO!$X$15-_xlfn.SINGLE(CÁLCULO.TotalAdmLocal))*CRONO!$F25,
                        0),
                 U24*$S23),
          SUMIF(OFFSET($S25,1,0,$R23-2),($M23+1)&amp;"$",OFFSET(U25,1,0,$R23-2)))</f>
        <v>0</v>
      </c>
      <c r="V25" s="203" cm="1">
        <f t="array" aca="1" ref="V25" ca="1">IF($R23=2,
         IF(AND(ACOMPANHAMENTO="PLE",ISNUMBER($F23)),
                SUMIF((OFFSET(CÁLCULO!$AM$15:$AW$15,$F23,0,OFFSET(ORÇAMENTO!$D$15,CRONO!$F23,0))),CRONO!V$12,OFFSET(CÁLCULO!$AB$15:$AL$15,$F23,0,OFFSET(ORÇAMENTO!$D$15,CRONO!$F23,0)))
                +IF(AND($F25&lt;&gt;"",$F25&lt;&gt;0),
                        SUMIF(CÁLCULO!$AM$15:$AW$27,CRONO!V$12,CÁLCULO!$AB$15:$AL$27)/(ORÇAMENTO!$X$15-_xlfn.SINGLE(CÁLCULO.TotalAdmLocal))*CRONO!$F25,
                        0),
                 V24*$S23),
          SUMIF(OFFSET($S25,1,0,$R23-2),($M23+1)&amp;"$",OFFSET(V25,1,0,$R23-2)))</f>
        <v>0</v>
      </c>
      <c r="W25" s="203" cm="1">
        <f t="array" aca="1" ref="W25" ca="1">IF($R23=2,
         IF(AND(ACOMPANHAMENTO="PLE",ISNUMBER($F23)),
                SUMIF((OFFSET(CÁLCULO!$AM$15:$AW$15,$F23,0,OFFSET(ORÇAMENTO!$D$15,CRONO!$F23,0))),CRONO!W$12,OFFSET(CÁLCULO!$AB$15:$AL$15,$F23,0,OFFSET(ORÇAMENTO!$D$15,CRONO!$F23,0)))
                +IF(AND($F25&lt;&gt;"",$F25&lt;&gt;0),
                        SUMIF(CÁLCULO!$AM$15:$AW$27,CRONO!W$12,CÁLCULO!$AB$15:$AL$27)/(ORÇAMENTO!$X$15-_xlfn.SINGLE(CÁLCULO.TotalAdmLocal))*CRONO!$F25,
                        0),
                 W24*$S23),
          SUMIF(OFFSET($S25,1,0,$R23-2),($M23+1)&amp;"$",OFFSET(W25,1,0,$R23-2)))</f>
        <v>0</v>
      </c>
      <c r="X25" s="203" cm="1">
        <f t="array" aca="1" ref="X25" ca="1">IF($R23=2,
         IF(AND(ACOMPANHAMENTO="PLE",ISNUMBER($F23)),
                SUMIF((OFFSET(CÁLCULO!$AM$15:$AW$15,$F23,0,OFFSET(ORÇAMENTO!$D$15,CRONO!$F23,0))),CRONO!X$12,OFFSET(CÁLCULO!$AB$15:$AL$15,$F23,0,OFFSET(ORÇAMENTO!$D$15,CRONO!$F23,0)))
                +IF(AND($F25&lt;&gt;"",$F25&lt;&gt;0),
                        SUMIF(CÁLCULO!$AM$15:$AW$27,CRONO!X$12,CÁLCULO!$AB$15:$AL$27)/(ORÇAMENTO!$X$15-_xlfn.SINGLE(CÁLCULO.TotalAdmLocal))*CRONO!$F25,
                        0),
                 X24*$S23),
          SUMIF(OFFSET($S25,1,0,$R23-2),($M23+1)&amp;"$",OFFSET(X25,1,0,$R23-2)))</f>
        <v>0</v>
      </c>
      <c r="Y25" s="203" cm="1">
        <f t="array" aca="1" ref="Y25" ca="1">IF($R23=2,
         IF(AND(ACOMPANHAMENTO="PLE",ISNUMBER($F23)),
                SUMIF((OFFSET(CÁLCULO!$AM$15:$AW$15,$F23,0,OFFSET(ORÇAMENTO!$D$15,CRONO!$F23,0))),CRONO!Y$12,OFFSET(CÁLCULO!$AB$15:$AL$15,$F23,0,OFFSET(ORÇAMENTO!$D$15,CRONO!$F23,0)))
                +IF(AND($F25&lt;&gt;"",$F25&lt;&gt;0),
                        SUMIF(CÁLCULO!$AM$15:$AW$27,CRONO!Y$12,CÁLCULO!$AB$15:$AL$27)/(ORÇAMENTO!$X$15-_xlfn.SINGLE(CÁLCULO.TotalAdmLocal))*CRONO!$F25,
                        0),
                 Y24*$S23),
          SUMIF(OFFSET($S25,1,0,$R23-2),($M23+1)&amp;"$",OFFSET(Y25,1,0,$R23-2)))</f>
        <v>0</v>
      </c>
      <c r="Z25" s="203" cm="1">
        <f t="array" aca="1" ref="Z25" ca="1">IF($R23=2,
         IF(AND(ACOMPANHAMENTO="PLE",ISNUMBER($F23)),
                SUMIF((OFFSET(CÁLCULO!$AM$15:$AW$15,$F23,0,OFFSET(ORÇAMENTO!$D$15,CRONO!$F23,0))),CRONO!Z$12,OFFSET(CÁLCULO!$AB$15:$AL$15,$F23,0,OFFSET(ORÇAMENTO!$D$15,CRONO!$F23,0)))
                +IF(AND($F25&lt;&gt;"",$F25&lt;&gt;0),
                        SUMIF(CÁLCULO!$AM$15:$AW$27,CRONO!Z$12,CÁLCULO!$AB$15:$AL$27)/(ORÇAMENTO!$X$15-_xlfn.SINGLE(CÁLCULO.TotalAdmLocal))*CRONO!$F25,
                        0),
                 Z24*$S23),
          SUMIF(OFFSET($S25,1,0,$R23-2),($M23+1)&amp;"$",OFFSET(Z25,1,0,$R23-2)))</f>
        <v>0</v>
      </c>
      <c r="AA25" s="203" cm="1">
        <f t="array" aca="1" ref="AA25" ca="1">IF($R23=2,
         IF(AND(ACOMPANHAMENTO="PLE",ISNUMBER($F23)),
                SUMIF((OFFSET(CÁLCULO!$AM$15:$AW$15,$F23,0,OFFSET(ORÇAMENTO!$D$15,CRONO!$F23,0))),CRONO!AA$12,OFFSET(CÁLCULO!$AB$15:$AL$15,$F23,0,OFFSET(ORÇAMENTO!$D$15,CRONO!$F23,0)))
                +IF(AND($F25&lt;&gt;"",$F25&lt;&gt;0),
                        SUMIF(CÁLCULO!$AM$15:$AW$27,CRONO!AA$12,CÁLCULO!$AB$15:$AL$27)/(ORÇAMENTO!$X$15-_xlfn.SINGLE(CÁLCULO.TotalAdmLocal))*CRONO!$F25,
                        0),
                 AA24*$S23),
          SUMIF(OFFSET($S25,1,0,$R23-2),($M23+1)&amp;"$",OFFSET(AA25,1,0,$R23-2)))</f>
        <v>0</v>
      </c>
      <c r="AB25" s="203" cm="1">
        <f t="array" aca="1" ref="AB25" ca="1">IF($R23=2,
         IF(AND(ACOMPANHAMENTO="PLE",ISNUMBER($F23)),
                SUMIF((OFFSET(CÁLCULO!$AM$15:$AW$15,$F23,0,OFFSET(ORÇAMENTO!$D$15,CRONO!$F23,0))),CRONO!AB$12,OFFSET(CÁLCULO!$AB$15:$AL$15,$F23,0,OFFSET(ORÇAMENTO!$D$15,CRONO!$F23,0)))
                +IF(AND($F25&lt;&gt;"",$F25&lt;&gt;0),
                        SUMIF(CÁLCULO!$AM$15:$AW$27,CRONO!AB$12,CÁLCULO!$AB$15:$AL$27)/(ORÇAMENTO!$X$15-_xlfn.SINGLE(CÁLCULO.TotalAdmLocal))*CRONO!$F25,
                        0),
                 AB24*$S23),
          SUMIF(OFFSET($S25,1,0,$R23-2),($M23+1)&amp;"$",OFFSET(AB25,1,0,$R23-2)))</f>
        <v>0</v>
      </c>
      <c r="AC25" s="203" cm="1">
        <f t="array" aca="1" ref="AC25" ca="1">IF($R23=2,
         IF(AND(ACOMPANHAMENTO="PLE",ISNUMBER($F23)),
                SUMIF((OFFSET(CÁLCULO!$AM$15:$AW$15,$F23,0,OFFSET(ORÇAMENTO!$D$15,CRONO!$F23,0))),CRONO!AC$12,OFFSET(CÁLCULO!$AB$15:$AL$15,$F23,0,OFFSET(ORÇAMENTO!$D$15,CRONO!$F23,0)))
                +IF(AND($F25&lt;&gt;"",$F25&lt;&gt;0),
                        SUMIF(CÁLCULO!$AM$15:$AW$27,CRONO!AC$12,CÁLCULO!$AB$15:$AL$27)/(ORÇAMENTO!$X$15-_xlfn.SINGLE(CÁLCULO.TotalAdmLocal))*CRONO!$F25,
                        0),
                 AC24*$S23),
          SUMIF(OFFSET($S25,1,0,$R23-2),($M23+1)&amp;"$",OFFSET(AC25,1,0,$R23-2)))</f>
        <v>0</v>
      </c>
      <c r="AD25" s="203" cm="1">
        <f t="array" aca="1" ref="AD25" ca="1">IF($R23=2,
         IF(AND(ACOMPANHAMENTO="PLE",ISNUMBER($F23)),
                SUMIF((OFFSET(CÁLCULO!$AM$15:$AW$15,$F23,0,OFFSET(ORÇAMENTO!$D$15,CRONO!$F23,0))),CRONO!AD$12,OFFSET(CÁLCULO!$AB$15:$AL$15,$F23,0,OFFSET(ORÇAMENTO!$D$15,CRONO!$F23,0)))
                +IF(AND($F25&lt;&gt;"",$F25&lt;&gt;0),
                        SUMIF(CÁLCULO!$AM$15:$AW$27,CRONO!AD$12,CÁLCULO!$AB$15:$AL$27)/(ORÇAMENTO!$X$15-_xlfn.SINGLE(CÁLCULO.TotalAdmLocal))*CRONO!$F25,
                        0),
                 AD24*$S23),
          SUMIF(OFFSET($S25,1,0,$R23-2),($M23+1)&amp;"$",OFFSET(AD25,1,0,$R23-2)))</f>
        <v>0</v>
      </c>
      <c r="AE25" s="203" cm="1">
        <f t="array" aca="1" ref="AE25" ca="1">IF($R23=2,
         IF(AND(ACOMPANHAMENTO="PLE",ISNUMBER($F23)),
                SUMIF((OFFSET(CÁLCULO!$AM$15:$AW$15,$F23,0,OFFSET(ORÇAMENTO!$D$15,CRONO!$F23,0))),CRONO!AE$12,OFFSET(CÁLCULO!$AB$15:$AL$15,$F23,0,OFFSET(ORÇAMENTO!$D$15,CRONO!$F23,0)))
                +IF(AND($F25&lt;&gt;"",$F25&lt;&gt;0),
                        SUMIF(CÁLCULO!$AM$15:$AW$27,CRONO!AE$12,CÁLCULO!$AB$15:$AL$27)/(ORÇAMENTO!$X$15-_xlfn.SINGLE(CÁLCULO.TotalAdmLocal))*CRONO!$F25,
                        0),
                 AE24*$S23),
          SUMIF(OFFSET($S25,1,0,$R23-2),($M23+1)&amp;"$",OFFSET(AE25,1,0,$R23-2)))</f>
        <v>0</v>
      </c>
      <c r="AF25" s="203" cm="1">
        <f t="array" aca="1" ref="AF25" ca="1">IF($R23=2,
         IF(AND(ACOMPANHAMENTO="PLE",ISNUMBER($F23)),
                SUMIF((OFFSET(CÁLCULO!$AM$15:$AW$15,$F23,0,OFFSET(ORÇAMENTO!$D$15,CRONO!$F23,0))),CRONO!AF$12,OFFSET(CÁLCULO!$AB$15:$AL$15,$F23,0,OFFSET(ORÇAMENTO!$D$15,CRONO!$F23,0)))
                +IF(AND($F25&lt;&gt;"",$F25&lt;&gt;0),
                        SUMIF(CÁLCULO!$AM$15:$AW$27,CRONO!AF$12,CÁLCULO!$AB$15:$AL$27)/(ORÇAMENTO!$X$15-_xlfn.SINGLE(CÁLCULO.TotalAdmLocal))*CRONO!$F25,
                        0),
                 AF24*$S23),
          SUMIF(OFFSET($S25,1,0,$R23-2),($M23+1)&amp;"$",OFFSET(AF25,1,0,$R23-2)))</f>
        <v>0</v>
      </c>
      <c r="AG25" s="535"/>
    </row>
    <row r="26" spans="1:33" ht="5.0999999999999996" customHeight="1" x14ac:dyDescent="0.2">
      <c r="E26" s="649"/>
      <c r="G26" s="186" t="s">
        <v>538</v>
      </c>
      <c r="H26" s="433"/>
      <c r="I26" s="650"/>
      <c r="J26" s="651"/>
      <c r="K26" s="651"/>
      <c r="L26" s="651"/>
      <c r="M26" s="652" t="s">
        <v>802</v>
      </c>
      <c r="N26" s="652"/>
      <c r="O26" s="652"/>
      <c r="P26" s="652"/>
      <c r="Q26" s="652"/>
      <c r="R26" s="652"/>
      <c r="S26" s="653"/>
      <c r="T26" s="653"/>
      <c r="U26" s="651"/>
      <c r="V26" s="651"/>
      <c r="W26" s="651"/>
      <c r="X26" s="651"/>
      <c r="Y26" s="651"/>
      <c r="Z26" s="651"/>
      <c r="AA26" s="651"/>
      <c r="AB26" s="651"/>
      <c r="AC26" s="651"/>
      <c r="AD26" s="651"/>
      <c r="AE26" s="651"/>
      <c r="AF26" s="651"/>
      <c r="AG26" s="535"/>
    </row>
    <row r="27" spans="1:33" ht="12.75" customHeight="1" x14ac:dyDescent="0.2">
      <c r="E27" s="529" t="e">
        <f ca="1">E31/$R$27</f>
        <v>#DIV/0!</v>
      </c>
      <c r="G27" s="186" t="s">
        <v>538</v>
      </c>
      <c r="I27" s="753" t="str">
        <f ca="1">"Total:    R$ "&amp;TEXT(R27,"#.##0,00")</f>
        <v>Total:    R$ 0,00</v>
      </c>
      <c r="J27" s="753"/>
      <c r="K27" s="753"/>
      <c r="L27" s="228"/>
      <c r="R27" s="229">
        <f ca="1">SUMIF(M12:M26,1,S12:S26)</f>
        <v>0</v>
      </c>
      <c r="S27" s="230"/>
      <c r="T27" s="231" t="s">
        <v>803</v>
      </c>
      <c r="U27" s="529" t="e">
        <f t="shared" ref="U27:AF27" ca="1" si="26">ROUND(U31,2)/$R$27</f>
        <v>#DIV/0!</v>
      </c>
      <c r="V27" s="529" t="e">
        <f t="shared" ca="1" si="26"/>
        <v>#DIV/0!</v>
      </c>
      <c r="W27" s="529" t="e">
        <f t="shared" ca="1" si="26"/>
        <v>#DIV/0!</v>
      </c>
      <c r="X27" s="529" t="e">
        <f t="shared" ca="1" si="26"/>
        <v>#DIV/0!</v>
      </c>
      <c r="Y27" s="529" t="e">
        <f t="shared" ca="1" si="26"/>
        <v>#DIV/0!</v>
      </c>
      <c r="Z27" s="529" t="e">
        <f t="shared" ca="1" si="26"/>
        <v>#DIV/0!</v>
      </c>
      <c r="AA27" s="529" t="e">
        <f t="shared" ca="1" si="26"/>
        <v>#DIV/0!</v>
      </c>
      <c r="AB27" s="529" t="e">
        <f t="shared" ca="1" si="26"/>
        <v>#DIV/0!</v>
      </c>
      <c r="AC27" s="529" t="e">
        <f t="shared" ca="1" si="26"/>
        <v>#DIV/0!</v>
      </c>
      <c r="AD27" s="529" t="e">
        <f t="shared" ca="1" si="26"/>
        <v>#DIV/0!</v>
      </c>
      <c r="AE27" s="529" t="e">
        <f t="shared" ca="1" si="26"/>
        <v>#DIV/0!</v>
      </c>
      <c r="AF27" s="540" t="e">
        <f t="shared" ca="1" si="26"/>
        <v>#DIV/0!</v>
      </c>
      <c r="AG27" s="535"/>
    </row>
    <row r="28" spans="1:33" ht="15" customHeight="1" x14ac:dyDescent="0.2">
      <c r="E28" s="232">
        <f ca="1">ROUND(E33,2)-ROUND(D33,2)</f>
        <v>0</v>
      </c>
      <c r="G28" s="186" t="s">
        <v>538</v>
      </c>
      <c r="I28" s="753"/>
      <c r="J28" s="753"/>
      <c r="K28" s="753"/>
      <c r="L28" s="233"/>
      <c r="R28" s="229"/>
      <c r="S28" s="234"/>
      <c r="T28" s="235" t="str">
        <f>IF(import.recurso="FGTS","Financiamento:","Repasse:")</f>
        <v>Repasse:</v>
      </c>
      <c r="U28" s="232">
        <f ca="1">ROUND(U33,2)</f>
        <v>0</v>
      </c>
      <c r="V28" s="232">
        <f t="shared" ref="V28:AF28" ca="1" si="27">ROUND(V33,2)-ROUND(U33,2)</f>
        <v>0</v>
      </c>
      <c r="W28" s="232">
        <f t="shared" ca="1" si="27"/>
        <v>0</v>
      </c>
      <c r="X28" s="232">
        <f t="shared" ca="1" si="27"/>
        <v>0</v>
      </c>
      <c r="Y28" s="232">
        <f t="shared" ca="1" si="27"/>
        <v>0</v>
      </c>
      <c r="Z28" s="232">
        <f t="shared" ca="1" si="27"/>
        <v>0</v>
      </c>
      <c r="AA28" s="232">
        <f t="shared" ca="1" si="27"/>
        <v>0</v>
      </c>
      <c r="AB28" s="232">
        <f t="shared" ca="1" si="27"/>
        <v>0</v>
      </c>
      <c r="AC28" s="232">
        <f t="shared" ca="1" si="27"/>
        <v>0</v>
      </c>
      <c r="AD28" s="232">
        <f t="shared" ca="1" si="27"/>
        <v>0</v>
      </c>
      <c r="AE28" s="232">
        <f t="shared" ca="1" si="27"/>
        <v>0</v>
      </c>
      <c r="AF28" s="541">
        <f t="shared" ca="1" si="27"/>
        <v>0</v>
      </c>
      <c r="AG28" s="535"/>
    </row>
    <row r="29" spans="1:33" ht="12.75" customHeight="1" x14ac:dyDescent="0.2">
      <c r="E29" s="530">
        <f ca="1">ROUND(E34,2)-ROUND(D34,2)</f>
        <v>0</v>
      </c>
      <c r="G29" s="186" t="s">
        <v>538</v>
      </c>
      <c r="I29" s="236"/>
      <c r="L29" s="237" t="s">
        <v>804</v>
      </c>
      <c r="R29" s="229"/>
      <c r="S29" s="238"/>
      <c r="T29" s="239" t="s">
        <v>805</v>
      </c>
      <c r="U29" s="530">
        <f ca="1">ROUND(U34,2)</f>
        <v>0</v>
      </c>
      <c r="V29" s="530">
        <f t="shared" ref="V29:AF29" ca="1" si="28">ROUND(V34,2)-ROUND(U34,2)</f>
        <v>0</v>
      </c>
      <c r="W29" s="530">
        <f t="shared" ca="1" si="28"/>
        <v>0</v>
      </c>
      <c r="X29" s="530">
        <f t="shared" ca="1" si="28"/>
        <v>0</v>
      </c>
      <c r="Y29" s="530">
        <f t="shared" ca="1" si="28"/>
        <v>0</v>
      </c>
      <c r="Z29" s="530">
        <f t="shared" ca="1" si="28"/>
        <v>0</v>
      </c>
      <c r="AA29" s="530">
        <f t="shared" ca="1" si="28"/>
        <v>0</v>
      </c>
      <c r="AB29" s="530">
        <f t="shared" ca="1" si="28"/>
        <v>0</v>
      </c>
      <c r="AC29" s="530">
        <f t="shared" ca="1" si="28"/>
        <v>0</v>
      </c>
      <c r="AD29" s="530">
        <f t="shared" ca="1" si="28"/>
        <v>0</v>
      </c>
      <c r="AE29" s="530">
        <f t="shared" ca="1" si="28"/>
        <v>0</v>
      </c>
      <c r="AF29" s="542">
        <f t="shared" ca="1" si="28"/>
        <v>0</v>
      </c>
      <c r="AG29" s="535"/>
    </row>
    <row r="30" spans="1:33" x14ac:dyDescent="0.2">
      <c r="E30" s="240">
        <f ca="1">ROUND(E35,2)-ROUND(D35,2)</f>
        <v>0</v>
      </c>
      <c r="G30" s="186" t="s">
        <v>538</v>
      </c>
      <c r="I30" s="236"/>
      <c r="L30" s="237"/>
      <c r="R30" s="229"/>
      <c r="S30" s="241"/>
      <c r="T30" s="242" t="s">
        <v>806</v>
      </c>
      <c r="U30" s="240">
        <f ca="1">ROUND(U35,2)</f>
        <v>0</v>
      </c>
      <c r="V30" s="240">
        <f t="shared" ref="V30:AF30" ca="1" si="29">ROUND(V35,2)-ROUND(U35,2)</f>
        <v>0</v>
      </c>
      <c r="W30" s="240">
        <f t="shared" ca="1" si="29"/>
        <v>0</v>
      </c>
      <c r="X30" s="240">
        <f t="shared" ca="1" si="29"/>
        <v>0</v>
      </c>
      <c r="Y30" s="240">
        <f t="shared" ca="1" si="29"/>
        <v>0</v>
      </c>
      <c r="Z30" s="240">
        <f t="shared" ca="1" si="29"/>
        <v>0</v>
      </c>
      <c r="AA30" s="240">
        <f t="shared" ca="1" si="29"/>
        <v>0</v>
      </c>
      <c r="AB30" s="240">
        <f t="shared" ca="1" si="29"/>
        <v>0</v>
      </c>
      <c r="AC30" s="240">
        <f t="shared" ca="1" si="29"/>
        <v>0</v>
      </c>
      <c r="AD30" s="240">
        <f t="shared" ca="1" si="29"/>
        <v>0</v>
      </c>
      <c r="AE30" s="240">
        <f t="shared" ca="1" si="29"/>
        <v>0</v>
      </c>
      <c r="AF30" s="543">
        <f t="shared" ca="1" si="29"/>
        <v>0</v>
      </c>
      <c r="AG30" s="535"/>
    </row>
    <row r="31" spans="1:33" x14ac:dyDescent="0.2">
      <c r="E31" s="531">
        <f ca="1">ROUND(E36,2)-ROUND(D37,2)</f>
        <v>0</v>
      </c>
      <c r="G31" s="186" t="s">
        <v>538</v>
      </c>
      <c r="H31" s="537"/>
      <c r="L31" s="243"/>
      <c r="S31" s="244"/>
      <c r="T31" s="245" t="s">
        <v>807</v>
      </c>
      <c r="U31" s="531">
        <f ca="1">ROUND(U36,2)</f>
        <v>0</v>
      </c>
      <c r="V31" s="531">
        <f t="shared" ref="V31:AF31" ca="1" si="30">ROUND(V36,2)-ROUND(U36,2)</f>
        <v>0</v>
      </c>
      <c r="W31" s="531">
        <f t="shared" ca="1" si="30"/>
        <v>0</v>
      </c>
      <c r="X31" s="531">
        <f t="shared" ca="1" si="30"/>
        <v>0</v>
      </c>
      <c r="Y31" s="531">
        <f t="shared" ca="1" si="30"/>
        <v>0</v>
      </c>
      <c r="Z31" s="531">
        <f t="shared" ca="1" si="30"/>
        <v>0</v>
      </c>
      <c r="AA31" s="531">
        <f t="shared" ca="1" si="30"/>
        <v>0</v>
      </c>
      <c r="AB31" s="531">
        <f t="shared" ca="1" si="30"/>
        <v>0</v>
      </c>
      <c r="AC31" s="531">
        <f t="shared" ca="1" si="30"/>
        <v>0</v>
      </c>
      <c r="AD31" s="531">
        <f t="shared" ca="1" si="30"/>
        <v>0</v>
      </c>
      <c r="AE31" s="531">
        <f t="shared" ca="1" si="30"/>
        <v>0</v>
      </c>
      <c r="AF31" s="544">
        <f t="shared" ca="1" si="30"/>
        <v>0</v>
      </c>
      <c r="AG31" s="535"/>
    </row>
    <row r="32" spans="1:33" x14ac:dyDescent="0.2">
      <c r="E32" s="529" t="e">
        <f ca="1">ROUND(E36,2)/$R$27</f>
        <v>#DIV/0!</v>
      </c>
      <c r="G32" s="186" t="s">
        <v>538</v>
      </c>
      <c r="L32" s="228"/>
      <c r="S32" s="230"/>
      <c r="T32" s="231" t="s">
        <v>803</v>
      </c>
      <c r="U32" s="529" t="e">
        <f t="shared" ref="U32:AF32" ca="1" si="31">ROUND(U36,2)/$R$27</f>
        <v>#DIV/0!</v>
      </c>
      <c r="V32" s="529" t="e">
        <f t="shared" ca="1" si="31"/>
        <v>#DIV/0!</v>
      </c>
      <c r="W32" s="529" t="e">
        <f t="shared" ca="1" si="31"/>
        <v>#DIV/0!</v>
      </c>
      <c r="X32" s="529" t="e">
        <f t="shared" ca="1" si="31"/>
        <v>#DIV/0!</v>
      </c>
      <c r="Y32" s="529" t="e">
        <f t="shared" ca="1" si="31"/>
        <v>#DIV/0!</v>
      </c>
      <c r="Z32" s="529" t="e">
        <f t="shared" ca="1" si="31"/>
        <v>#DIV/0!</v>
      </c>
      <c r="AA32" s="529" t="e">
        <f t="shared" ca="1" si="31"/>
        <v>#DIV/0!</v>
      </c>
      <c r="AB32" s="529" t="e">
        <f t="shared" ca="1" si="31"/>
        <v>#DIV/0!</v>
      </c>
      <c r="AC32" s="529" t="e">
        <f t="shared" ca="1" si="31"/>
        <v>#DIV/0!</v>
      </c>
      <c r="AD32" s="529" t="e">
        <f t="shared" ca="1" si="31"/>
        <v>#DIV/0!</v>
      </c>
      <c r="AE32" s="529" t="e">
        <f t="shared" ca="1" si="31"/>
        <v>#DIV/0!</v>
      </c>
      <c r="AF32" s="540" t="e">
        <f t="shared" ca="1" si="31"/>
        <v>#DIV/0!</v>
      </c>
      <c r="AG32" s="535"/>
    </row>
    <row r="33" spans="4:33" x14ac:dyDescent="0.2">
      <c r="E33" s="232">
        <f ca="1">ROUND(E36-E35-E34,2)</f>
        <v>0</v>
      </c>
      <c r="G33" s="186" t="s">
        <v>538</v>
      </c>
      <c r="L33" s="233"/>
      <c r="S33" s="234"/>
      <c r="T33" s="235" t="str">
        <f>IF(import.recurso="FGTS","Financiamento:","Repasse:")</f>
        <v>Repasse:</v>
      </c>
      <c r="U33" s="232">
        <f t="shared" ref="U33:AF33" ca="1" si="32">ROUND(U36-U35-U34,2)</f>
        <v>0</v>
      </c>
      <c r="V33" s="232">
        <f t="shared" ca="1" si="32"/>
        <v>0</v>
      </c>
      <c r="W33" s="232">
        <f t="shared" ca="1" si="32"/>
        <v>0</v>
      </c>
      <c r="X33" s="232">
        <f t="shared" ca="1" si="32"/>
        <v>0</v>
      </c>
      <c r="Y33" s="232">
        <f t="shared" ca="1" si="32"/>
        <v>0</v>
      </c>
      <c r="Z33" s="232">
        <f t="shared" ca="1" si="32"/>
        <v>0</v>
      </c>
      <c r="AA33" s="232">
        <f t="shared" ca="1" si="32"/>
        <v>0</v>
      </c>
      <c r="AB33" s="232">
        <f t="shared" ca="1" si="32"/>
        <v>0</v>
      </c>
      <c r="AC33" s="232">
        <f t="shared" ca="1" si="32"/>
        <v>0</v>
      </c>
      <c r="AD33" s="232">
        <f t="shared" ca="1" si="32"/>
        <v>0</v>
      </c>
      <c r="AE33" s="232">
        <f t="shared" ca="1" si="32"/>
        <v>0</v>
      </c>
      <c r="AF33" s="541">
        <f t="shared" ca="1" si="32"/>
        <v>0</v>
      </c>
      <c r="AG33" s="535"/>
    </row>
    <row r="34" spans="4:33" x14ac:dyDescent="0.2">
      <c r="E34" s="530">
        <f t="array" aca="1" ref="E34" ca="1">D34+SUM((OFFSET($C$13,1,0):OFFSET($C$26,-3,0))*IF(ISNUMBER(OFFSET(E$11,5,0):OFFSET(E$26,-1,0)),OFFSET(E$11,5,0):OFFSET(E$26,-1,0),0))</f>
        <v>0</v>
      </c>
      <c r="G34" s="186" t="s">
        <v>538</v>
      </c>
      <c r="L34" s="237" t="s">
        <v>808</v>
      </c>
      <c r="S34" s="238"/>
      <c r="T34" s="239" t="s">
        <v>805</v>
      </c>
      <c r="U34" s="530" cm="1">
        <f t="array" aca="1" ref="U34" ca="1">SUM((OFFSET($C$13,1,0):OFFSET($C$26,-3,0))*IF(ISNUMBER(OFFSET(U$11,5,0):OFFSET(U$26,-1,0)),OFFSET(U$11,5,0):OFFSET(U$26,-1,0),0))</f>
        <v>0</v>
      </c>
      <c r="V34" s="530">
        <f t="array" aca="1" ref="V34" ca="1">U34+SUM((OFFSET($C$13,1,0):OFFSET($C$26,-3,0))*IF(ISNUMBER(OFFSET(V$11,5,0):OFFSET(V$26,-1,0)),OFFSET(V$11,5,0):OFFSET(V$26,-1,0),0))</f>
        <v>0</v>
      </c>
      <c r="W34" s="530">
        <f t="array" aca="1" ref="W34" ca="1">V34+SUM((OFFSET($C$13,1,0):OFFSET($C$26,-3,0))*IF(ISNUMBER(OFFSET(W$11,5,0):OFFSET(W$26,-1,0)),OFFSET(W$11,5,0):OFFSET(W$26,-1,0),0))</f>
        <v>0</v>
      </c>
      <c r="X34" s="530">
        <f t="array" aca="1" ref="X34" ca="1">W34+SUM((OFFSET($C$13,1,0):OFFSET($C$26,-3,0))*IF(ISNUMBER(OFFSET(X$11,5,0):OFFSET(X$26,-1,0)),OFFSET(X$11,5,0):OFFSET(X$26,-1,0),0))</f>
        <v>0</v>
      </c>
      <c r="Y34" s="530">
        <f t="array" aca="1" ref="Y34" ca="1">X34+SUM((OFFSET($C$13,1,0):OFFSET($C$26,-3,0))*IF(ISNUMBER(OFFSET(Y$11,5,0):OFFSET(Y$26,-1,0)),OFFSET(Y$11,5,0):OFFSET(Y$26,-1,0),0))</f>
        <v>0</v>
      </c>
      <c r="Z34" s="530">
        <f t="array" aca="1" ref="Z34" ca="1">Y34+SUM((OFFSET($C$13,1,0):OFFSET($C$26,-3,0))*IF(ISNUMBER(OFFSET(Z$11,5,0):OFFSET(Z$26,-1,0)),OFFSET(Z$11,5,0):OFFSET(Z$26,-1,0),0))</f>
        <v>0</v>
      </c>
      <c r="AA34" s="530">
        <f t="array" aca="1" ref="AA34" ca="1">Z34+SUM((OFFSET($C$13,1,0):OFFSET($C$26,-3,0))*IF(ISNUMBER(OFFSET(AA$11,5,0):OFFSET(AA$26,-1,0)),OFFSET(AA$11,5,0):OFFSET(AA$26,-1,0),0))</f>
        <v>0</v>
      </c>
      <c r="AB34" s="530">
        <f t="array" aca="1" ref="AB34" ca="1">AA34+SUM((OFFSET($C$13,1,0):OFFSET($C$26,-3,0))*IF(ISNUMBER(OFFSET(AB$11,5,0):OFFSET(AB$26,-1,0)),OFFSET(AB$11,5,0):OFFSET(AB$26,-1,0),0))</f>
        <v>0</v>
      </c>
      <c r="AC34" s="530">
        <f t="array" aca="1" ref="AC34" ca="1">AB34+SUM((OFFSET($C$13,1,0):OFFSET($C$26,-3,0))*IF(ISNUMBER(OFFSET(AC$11,5,0):OFFSET(AC$26,-1,0)),OFFSET(AC$11,5,0):OFFSET(AC$26,-1,0),0))</f>
        <v>0</v>
      </c>
      <c r="AD34" s="530">
        <f t="array" aca="1" ref="AD34" ca="1">AC34+SUM((OFFSET($C$13,1,0):OFFSET($C$26,-3,0))*IF(ISNUMBER(OFFSET(AD$11,5,0):OFFSET(AD$26,-1,0)),OFFSET(AD$11,5,0):OFFSET(AD$26,-1,0),0))</f>
        <v>0</v>
      </c>
      <c r="AE34" s="530">
        <f t="array" aca="1" ref="AE34" ca="1">AD34+SUM((OFFSET($C$13,1,0):OFFSET($C$26,-3,0))*IF(ISNUMBER(OFFSET(AE$11,5,0):OFFSET(AE$26,-1,0)),OFFSET(AE$11,5,0):OFFSET(AE$26,-1,0),0))</f>
        <v>0</v>
      </c>
      <c r="AF34" s="542">
        <f t="array" aca="1" ref="AF34" ca="1">AE34+SUM((OFFSET($C$13,1,0):OFFSET($C$26,-3,0))*IF(ISNUMBER(OFFSET(AF$11,5,0):OFFSET(AF$26,-1,0)),OFFSET(AF$11,5,0):OFFSET(AF$26,-1,0),0))</f>
        <v>0</v>
      </c>
      <c r="AG34" s="535"/>
    </row>
    <row r="35" spans="4:33" x14ac:dyDescent="0.2">
      <c r="E35" s="240">
        <f t="array" aca="1" ref="E35" ca="1">D35+SUM((OFFSET($D$13,1,0):OFFSET($D$26,-3,0))*IF(ISNUMBER(OFFSET(E$11,5,0):OFFSET(E$26,-1,0)),OFFSET(E$11,5,0):OFFSET(E$26,-1,0),0))</f>
        <v>0</v>
      </c>
      <c r="G35" s="186" t="s">
        <v>538</v>
      </c>
      <c r="L35" s="237"/>
      <c r="S35" s="241"/>
      <c r="T35" s="242" t="s">
        <v>806</v>
      </c>
      <c r="U35" s="240">
        <f t="array" aca="1" ref="U35" ca="1">SUM((OFFSET($D$13,1,0):OFFSET($D$26,-3,0))*IF(ISNUMBER(OFFSET(U$11,5,0):OFFSET(U$26,-1,0)),OFFSET(U$11,5,0):OFFSET(U$26,-1,0),0))</f>
        <v>0</v>
      </c>
      <c r="V35" s="240">
        <f t="array" aca="1" ref="V35" ca="1">U35+SUM((OFFSET($D$13,1,0):OFFSET($D$26,-3,0))*IF(ISNUMBER(OFFSET(V$11,5,0):OFFSET(V$26,-1,0)),OFFSET(V$11,5,0):OFFSET(V$26,-1,0),0))</f>
        <v>0</v>
      </c>
      <c r="W35" s="240">
        <f t="array" aca="1" ref="W35" ca="1">V35+SUM((OFFSET($D$13,1,0):OFFSET($D$26,-3,0))*IF(ISNUMBER(OFFSET(W$11,5,0):OFFSET(W$26,-1,0)),OFFSET(W$11,5,0):OFFSET(W$26,-1,0),0))</f>
        <v>0</v>
      </c>
      <c r="X35" s="240">
        <f t="array" aca="1" ref="X35" ca="1">W35+SUM((OFFSET($D$13,1,0):OFFSET($D$26,-3,0))*IF(ISNUMBER(OFFSET(X$11,5,0):OFFSET(X$26,-1,0)),OFFSET(X$11,5,0):OFFSET(X$26,-1,0),0))</f>
        <v>0</v>
      </c>
      <c r="Y35" s="240">
        <f t="array" aca="1" ref="Y35" ca="1">X35+SUM((OFFSET($D$13,1,0):OFFSET($D$26,-3,0))*IF(ISNUMBER(OFFSET(Y$11,5,0):OFFSET(Y$26,-1,0)),OFFSET(Y$11,5,0):OFFSET(Y$26,-1,0),0))</f>
        <v>0</v>
      </c>
      <c r="Z35" s="240">
        <f t="array" aca="1" ref="Z35" ca="1">Y35+SUM((OFFSET($D$13,1,0):OFFSET($D$26,-3,0))*IF(ISNUMBER(OFFSET(Z$11,5,0):OFFSET(Z$26,-1,0)),OFFSET(Z$11,5,0):OFFSET(Z$26,-1,0),0))</f>
        <v>0</v>
      </c>
      <c r="AA35" s="240">
        <f t="array" aca="1" ref="AA35" ca="1">Z35+SUM((OFFSET($D$13,1,0):OFFSET($D$26,-3,0))*IF(ISNUMBER(OFFSET(AA$11,5,0):OFFSET(AA$26,-1,0)),OFFSET(AA$11,5,0):OFFSET(AA$26,-1,0),0))</f>
        <v>0</v>
      </c>
      <c r="AB35" s="240">
        <f t="array" aca="1" ref="AB35" ca="1">AA35+SUM((OFFSET($D$13,1,0):OFFSET($D$26,-3,0))*IF(ISNUMBER(OFFSET(AB$11,5,0):OFFSET(AB$26,-1,0)),OFFSET(AB$11,5,0):OFFSET(AB$26,-1,0),0))</f>
        <v>0</v>
      </c>
      <c r="AC35" s="240">
        <f t="array" aca="1" ref="AC35" ca="1">AB35+SUM((OFFSET($D$13,1,0):OFFSET($D$26,-3,0))*IF(ISNUMBER(OFFSET(AC$11,5,0):OFFSET(AC$26,-1,0)),OFFSET(AC$11,5,0):OFFSET(AC$26,-1,0),0))</f>
        <v>0</v>
      </c>
      <c r="AD35" s="240">
        <f t="array" aca="1" ref="AD35" ca="1">AC35+SUM((OFFSET($D$13,1,0):OFFSET($D$26,-3,0))*IF(ISNUMBER(OFFSET(AD$11,5,0):OFFSET(AD$26,-1,0)),OFFSET(AD$11,5,0):OFFSET(AD$26,-1,0),0))</f>
        <v>0</v>
      </c>
      <c r="AE35" s="240">
        <f t="array" aca="1" ref="AE35" ca="1">AD35+SUM((OFFSET($D$13,1,0):OFFSET($D$26,-3,0))*IF(ISNUMBER(OFFSET(AE$11,5,0):OFFSET(AE$26,-1,0)),OFFSET(AE$11,5,0):OFFSET(AE$26,-1,0),0))</f>
        <v>0</v>
      </c>
      <c r="AF35" s="543">
        <f t="array" aca="1" ref="AF35" ca="1">AE35+SUM((OFFSET($D$13,1,0):OFFSET($D$26,-3,0))*IF(ISNUMBER(OFFSET(AF$11,5,0):OFFSET(AF$26,-1,0)),OFFSET(AF$11,5,0):OFFSET(AF$26,-1,0),0))</f>
        <v>0</v>
      </c>
      <c r="AG35" s="535"/>
    </row>
    <row r="36" spans="4:33" ht="13.5" thickBot="1" x14ac:dyDescent="0.25">
      <c r="D36" s="534"/>
      <c r="E36" s="532">
        <f ca="1">SUMIF($S$12:$S$26,"1$",E12:E26)+IF(E$12&gt;1,OFFSET(E36,0,-1),0)</f>
        <v>0</v>
      </c>
      <c r="G36" s="186" t="s">
        <v>538</v>
      </c>
      <c r="H36" s="523" t="str" cm="1">
        <f t="array" ref="H36">IF(ACOMPANHAMENTO="BM","Selecione o Macrosserviço da Administração Local:","")</f>
        <v>Selecione o Macrosserviço da Administração Local:</v>
      </c>
      <c r="I36"/>
      <c r="L36" s="237"/>
      <c r="S36" s="238"/>
      <c r="T36" s="527" t="s">
        <v>807</v>
      </c>
      <c r="U36" s="532">
        <f t="shared" ref="U36:AF36" ca="1" si="33">SUMIF($S$12:$S$26,"1$",U12:U26)+IF(U$12&gt;1,OFFSET(U36,0,-1),0)</f>
        <v>0</v>
      </c>
      <c r="V36" s="532">
        <f t="shared" ca="1" si="33"/>
        <v>0</v>
      </c>
      <c r="W36" s="532">
        <f t="shared" ca="1" si="33"/>
        <v>0</v>
      </c>
      <c r="X36" s="532">
        <f t="shared" ca="1" si="33"/>
        <v>0</v>
      </c>
      <c r="Y36" s="532">
        <f t="shared" ca="1" si="33"/>
        <v>0</v>
      </c>
      <c r="Z36" s="532">
        <f t="shared" ca="1" si="33"/>
        <v>0</v>
      </c>
      <c r="AA36" s="532">
        <f t="shared" ca="1" si="33"/>
        <v>0</v>
      </c>
      <c r="AB36" s="532">
        <f t="shared" ca="1" si="33"/>
        <v>0</v>
      </c>
      <c r="AC36" s="532">
        <f t="shared" ca="1" si="33"/>
        <v>0</v>
      </c>
      <c r="AD36" s="532">
        <f t="shared" ca="1" si="33"/>
        <v>0</v>
      </c>
      <c r="AE36" s="532">
        <f t="shared" ca="1" si="33"/>
        <v>0</v>
      </c>
      <c r="AF36" s="545">
        <f t="shared" ca="1" si="33"/>
        <v>0</v>
      </c>
      <c r="AG36" s="535"/>
    </row>
    <row r="37" spans="4:33" ht="13.5" thickBot="1" x14ac:dyDescent="0.25">
      <c r="D37" s="534"/>
      <c r="E37" s="533" t="str" cm="1">
        <f t="array" aca="1" ref="E37" ca="1">IF($F$37="","",
  IF(ACOMPANHAMENTO="PLE",
     IF(AUTOEVENTO="Manual",
         IF(AdmLocal="Automática",
              E32,
              SUMIF(OFFSET(CRONOPLE!$F$14,CRONOPLE!$A$8+1,1,1,OFFSET(CRONOPLE!$AF$12,0,-1)),"&lt;="&amp;E$12,OFFSET(EVENTOS!$G$14,CRONOPLE!$A$8+1,1,1,OFFSET(CRONOPLE!$AF$12,0,-1)))/OFFSET(EVENTOS!$G$14,CRONOPLE!$A$8+1,-1)),
         SUM(OFFSET($T$13,$F$37+2,1,1,E$12))/OFFSET($S$13,$F$37,0)),
     IF(ACOMPANHAMENTO="BM",SUM(OFFSET($T$13,$F$37+2,1,1,E$12))/OFFSET($S$13,$F$37,0),"")))</f>
        <v/>
      </c>
      <c r="F37" s="186" t="str" cm="1">
        <f t="array" ref="F37">IF(ACOMPANHAMENTO="PLE",
    IF(AUTOEVENTO="Manual",
        IF(AdmLocal="Automática",1,IF(CRONOPLE!$D$8&lt;&gt;"","",MATCH(Import.EventoAdmLocal,EVENTOS!$B$15:$B$65,0))),
        IF(CRONOPLE!$D$8&lt;&gt;"","",MATCH(CRONOPLE!$A$10,CRONO!$F$13:$F$26,0)-1)),
    IF($H$38&lt;&gt;"","",MATCH(Import.MacrosserviçoAdmLocal,$A$13:$A$26,0)-1))</f>
        <v/>
      </c>
      <c r="G37" s="186" t="s">
        <v>538</v>
      </c>
      <c r="H37" s="722"/>
      <c r="I37" s="758"/>
      <c r="J37" s="723"/>
      <c r="L37" s="243"/>
      <c r="S37" s="526"/>
      <c r="T37" s="528" t="s">
        <v>809</v>
      </c>
      <c r="U37" s="533" t="str" cm="1">
        <f t="array" aca="1" ref="U37" ca="1">IF($F$37="","",
  IF(ACOMPANHAMENTO="PLE",
     IF(AUTOEVENTO="Manual",
         IF(AdmLocal="Automática",
              U32,
              SUMIF(OFFSET(CRONOPLE!$F$14,CRONOPLE!$A$8+1,1,1,OFFSET(CRONOPLE!$AF$12,0,-1)),"&lt;="&amp;U$12,OFFSET(EVENTOS!$G$14,CRONOPLE!$A$8+1,1,1,OFFSET(CRONOPLE!$AF$12,0,-1)))/OFFSET(EVENTOS!$G$14,CRONOPLE!$A$8+1,-1)),
         SUM(OFFSET($T$13,$F$37+2,1,1,U$12))/OFFSET($S$13,$F$37,0)),
     IF(ACOMPANHAMENTO="BM",SUM(OFFSET($T$13,$F$37+2,1,1,U$12))/OFFSET($S$13,$F$37,0),"")))</f>
        <v/>
      </c>
      <c r="V37" s="533" t="str" cm="1">
        <f t="array" aca="1" ref="V37" ca="1">IF($F$37="","",
  IF(ACOMPANHAMENTO="PLE",
     IF(AUTOEVENTO="Manual",
         IF(AdmLocal="Automática",
              V32,
              SUMIF(OFFSET(CRONOPLE!$F$14,CRONOPLE!$A$8+1,1,1,OFFSET(CRONOPLE!$AF$12,0,-1)),"&lt;="&amp;V$12,OFFSET(EVENTOS!$G$14,CRONOPLE!$A$8+1,1,1,OFFSET(CRONOPLE!$AF$12,0,-1)))/OFFSET(EVENTOS!$G$14,CRONOPLE!$A$8+1,-1)),
         SUM(OFFSET($T$13,$F$37+2,1,1,V$12))/OFFSET($S$13,$F$37,0)),
     IF(ACOMPANHAMENTO="BM",SUM(OFFSET($T$13,$F$37+2,1,1,V$12))/OFFSET($S$13,$F$37,0),"")))</f>
        <v/>
      </c>
      <c r="W37" s="533" t="str" cm="1">
        <f t="array" aca="1" ref="W37" ca="1">IF($F$37="","",
  IF(ACOMPANHAMENTO="PLE",
     IF(AUTOEVENTO="Manual",
         IF(AdmLocal="Automática",
              W32,
              SUMIF(OFFSET(CRONOPLE!$F$14,CRONOPLE!$A$8+1,1,1,OFFSET(CRONOPLE!$AF$12,0,-1)),"&lt;="&amp;W$12,OFFSET(EVENTOS!$G$14,CRONOPLE!$A$8+1,1,1,OFFSET(CRONOPLE!$AF$12,0,-1)))/OFFSET(EVENTOS!$G$14,CRONOPLE!$A$8+1,-1)),
         SUM(OFFSET($T$13,$F$37+2,1,1,W$12))/OFFSET($S$13,$F$37,0)),
     IF(ACOMPANHAMENTO="BM",SUM(OFFSET($T$13,$F$37+2,1,1,W$12))/OFFSET($S$13,$F$37,0),"")))</f>
        <v/>
      </c>
      <c r="X37" s="533" t="str" cm="1">
        <f t="array" aca="1" ref="X37" ca="1">IF($F$37="","",
  IF(ACOMPANHAMENTO="PLE",
     IF(AUTOEVENTO="Manual",
         IF(AdmLocal="Automática",
              X32,
              SUMIF(OFFSET(CRONOPLE!$F$14,CRONOPLE!$A$8+1,1,1,OFFSET(CRONOPLE!$AF$12,0,-1)),"&lt;="&amp;X$12,OFFSET(EVENTOS!$G$14,CRONOPLE!$A$8+1,1,1,OFFSET(CRONOPLE!$AF$12,0,-1)))/OFFSET(EVENTOS!$G$14,CRONOPLE!$A$8+1,-1)),
         SUM(OFFSET($T$13,$F$37+2,1,1,X$12))/OFFSET($S$13,$F$37,0)),
     IF(ACOMPANHAMENTO="BM",SUM(OFFSET($T$13,$F$37+2,1,1,X$12))/OFFSET($S$13,$F$37,0),"")))</f>
        <v/>
      </c>
      <c r="Y37" s="533" t="str" cm="1">
        <f t="array" aca="1" ref="Y37" ca="1">IF($F$37="","",
  IF(ACOMPANHAMENTO="PLE",
     IF(AUTOEVENTO="Manual",
         IF(AdmLocal="Automática",
              Y32,
              SUMIF(OFFSET(CRONOPLE!$F$14,CRONOPLE!$A$8+1,1,1,OFFSET(CRONOPLE!$AF$12,0,-1)),"&lt;="&amp;Y$12,OFFSET(EVENTOS!$G$14,CRONOPLE!$A$8+1,1,1,OFFSET(CRONOPLE!$AF$12,0,-1)))/OFFSET(EVENTOS!$G$14,CRONOPLE!$A$8+1,-1)),
         SUM(OFFSET($T$13,$F$37+2,1,1,Y$12))/OFFSET($S$13,$F$37,0)),
     IF(ACOMPANHAMENTO="BM",SUM(OFFSET($T$13,$F$37+2,1,1,Y$12))/OFFSET($S$13,$F$37,0),"")))</f>
        <v/>
      </c>
      <c r="Z37" s="533" t="str" cm="1">
        <f t="array" aca="1" ref="Z37" ca="1">IF($F$37="","",
  IF(ACOMPANHAMENTO="PLE",
     IF(AUTOEVENTO="Manual",
         IF(AdmLocal="Automática",
              Z32,
              SUMIF(OFFSET(CRONOPLE!$F$14,CRONOPLE!$A$8+1,1,1,OFFSET(CRONOPLE!$AF$12,0,-1)),"&lt;="&amp;Z$12,OFFSET(EVENTOS!$G$14,CRONOPLE!$A$8+1,1,1,OFFSET(CRONOPLE!$AF$12,0,-1)))/OFFSET(EVENTOS!$G$14,CRONOPLE!$A$8+1,-1)),
         SUM(OFFSET($T$13,$F$37+2,1,1,Z$12))/OFFSET($S$13,$F$37,0)),
     IF(ACOMPANHAMENTO="BM",SUM(OFFSET($T$13,$F$37+2,1,1,Z$12))/OFFSET($S$13,$F$37,0),"")))</f>
        <v/>
      </c>
      <c r="AA37" s="533" t="str" cm="1">
        <f t="array" aca="1" ref="AA37" ca="1">IF($F$37="","",
  IF(ACOMPANHAMENTO="PLE",
     IF(AUTOEVENTO="Manual",
         IF(AdmLocal="Automática",
              AA32,
              SUMIF(OFFSET(CRONOPLE!$F$14,CRONOPLE!$A$8+1,1,1,OFFSET(CRONOPLE!$AF$12,0,-1)),"&lt;="&amp;AA$12,OFFSET(EVENTOS!$G$14,CRONOPLE!$A$8+1,1,1,OFFSET(CRONOPLE!$AF$12,0,-1)))/OFFSET(EVENTOS!$G$14,CRONOPLE!$A$8+1,-1)),
         SUM(OFFSET($T$13,$F$37+2,1,1,AA$12))/OFFSET($S$13,$F$37,0)),
     IF(ACOMPANHAMENTO="BM",SUM(OFFSET($T$13,$F$37+2,1,1,AA$12))/OFFSET($S$13,$F$37,0),"")))</f>
        <v/>
      </c>
      <c r="AB37" s="533" t="str" cm="1">
        <f t="array" aca="1" ref="AB37" ca="1">IF($F$37="","",
  IF(ACOMPANHAMENTO="PLE",
     IF(AUTOEVENTO="Manual",
         IF(AdmLocal="Automática",
              AB32,
              SUMIF(OFFSET(CRONOPLE!$F$14,CRONOPLE!$A$8+1,1,1,OFFSET(CRONOPLE!$AF$12,0,-1)),"&lt;="&amp;AB$12,OFFSET(EVENTOS!$G$14,CRONOPLE!$A$8+1,1,1,OFFSET(CRONOPLE!$AF$12,0,-1)))/OFFSET(EVENTOS!$G$14,CRONOPLE!$A$8+1,-1)),
         SUM(OFFSET($T$13,$F$37+2,1,1,AB$12))/OFFSET($S$13,$F$37,0)),
     IF(ACOMPANHAMENTO="BM",SUM(OFFSET($T$13,$F$37+2,1,1,AB$12))/OFFSET($S$13,$F$37,0),"")))</f>
        <v/>
      </c>
      <c r="AC37" s="533" t="str" cm="1">
        <f t="array" aca="1" ref="AC37" ca="1">IF($F$37="","",
  IF(ACOMPANHAMENTO="PLE",
     IF(AUTOEVENTO="Manual",
         IF(AdmLocal="Automática",
              AC32,
              SUMIF(OFFSET(CRONOPLE!$F$14,CRONOPLE!$A$8+1,1,1,OFFSET(CRONOPLE!$AF$12,0,-1)),"&lt;="&amp;AC$12,OFFSET(EVENTOS!$G$14,CRONOPLE!$A$8+1,1,1,OFFSET(CRONOPLE!$AF$12,0,-1)))/OFFSET(EVENTOS!$G$14,CRONOPLE!$A$8+1,-1)),
         SUM(OFFSET($T$13,$F$37+2,1,1,AC$12))/OFFSET($S$13,$F$37,0)),
     IF(ACOMPANHAMENTO="BM",SUM(OFFSET($T$13,$F$37+2,1,1,AC$12))/OFFSET($S$13,$F$37,0),"")))</f>
        <v/>
      </c>
      <c r="AD37" s="533" t="str" cm="1">
        <f t="array" aca="1" ref="AD37" ca="1">IF($F$37="","",
  IF(ACOMPANHAMENTO="PLE",
     IF(AUTOEVENTO="Manual",
         IF(AdmLocal="Automática",
              AD32,
              SUMIF(OFFSET(CRONOPLE!$F$14,CRONOPLE!$A$8+1,1,1,OFFSET(CRONOPLE!$AF$12,0,-1)),"&lt;="&amp;AD$12,OFFSET(EVENTOS!$G$14,CRONOPLE!$A$8+1,1,1,OFFSET(CRONOPLE!$AF$12,0,-1)))/OFFSET(EVENTOS!$G$14,CRONOPLE!$A$8+1,-1)),
         SUM(OFFSET($T$13,$F$37+2,1,1,AD$12))/OFFSET($S$13,$F$37,0)),
     IF(ACOMPANHAMENTO="BM",SUM(OFFSET($T$13,$F$37+2,1,1,AD$12))/OFFSET($S$13,$F$37,0),"")))</f>
        <v/>
      </c>
      <c r="AE37" s="533" t="str" cm="1">
        <f t="array" aca="1" ref="AE37" ca="1">IF($F$37="","",
  IF(ACOMPANHAMENTO="PLE",
     IF(AUTOEVENTO="Manual",
         IF(AdmLocal="Automática",
              AE32,
              SUMIF(OFFSET(CRONOPLE!$F$14,CRONOPLE!$A$8+1,1,1,OFFSET(CRONOPLE!$AF$12,0,-1)),"&lt;="&amp;AE$12,OFFSET(EVENTOS!$G$14,CRONOPLE!$A$8+1,1,1,OFFSET(CRONOPLE!$AF$12,0,-1)))/OFFSET(EVENTOS!$G$14,CRONOPLE!$A$8+1,-1)),
         SUM(OFFSET($T$13,$F$37+2,1,1,AE$12))/OFFSET($S$13,$F$37,0)),
     IF(ACOMPANHAMENTO="BM",SUM(OFFSET($T$13,$F$37+2,1,1,AE$12))/OFFSET($S$13,$F$37,0),"")))</f>
        <v/>
      </c>
      <c r="AF37" s="546" t="str" cm="1">
        <f t="array" aca="1" ref="AF37" ca="1">IF($F$37="","",
  IF(ACOMPANHAMENTO="PLE",
     IF(AUTOEVENTO="Manual",
         IF(AdmLocal="Automática",
              AF32,
              SUMIF(OFFSET(CRONOPLE!$F$14,CRONOPLE!$A$8+1,1,1,OFFSET(CRONOPLE!$AF$12,0,-1)),"&lt;="&amp;AF$12,OFFSET(EVENTOS!$G$14,CRONOPLE!$A$8+1,1,1,OFFSET(CRONOPLE!$AF$12,0,-1)))/OFFSET(EVENTOS!$G$14,CRONOPLE!$A$8+1,-1)),
         SUM(OFFSET($T$13,$F$37+2,1,1,AF$12))/OFFSET($S$13,$F$37,0)),
     IF(ACOMPANHAMENTO="BM",SUM(OFFSET($T$13,$F$37+2,1,1,AF$12))/OFFSET($S$13,$F$37,0),"")))</f>
        <v/>
      </c>
      <c r="AG37" s="535"/>
    </row>
    <row r="38" spans="4:33" ht="17.100000000000001" customHeight="1" x14ac:dyDescent="0.25">
      <c r="G38" s="186" t="s">
        <v>538</v>
      </c>
      <c r="H38" s="577" t="str" cm="1">
        <f t="array" ref="H38">IF(AND(ACOMPANHAMENTO="BM",$H$37=""),"↑ Não foi indicado o Macrosserviço de Administração Local","")</f>
        <v>↑ Não foi indicado o Macrosserviço de Administração Local</v>
      </c>
      <c r="T38" s="590" t="str">
        <f ca="1">IF(COUNTIF(U38:AG38,"%Adm&gt;%Global")&gt;0,"Verificar proporcionalidade da Administração Local","")</f>
        <v/>
      </c>
      <c r="U38" s="536" t="str">
        <f ca="1">IF(U37="","",IF(ROUND(U37,4)&gt;ROUND(U32,4),"%Adm&gt;%Global",""))</f>
        <v/>
      </c>
      <c r="V38" s="536" t="str">
        <f t="shared" ref="V38:AG38" ca="1" si="34">IF(V37="","",IF(ROUND(V37,4)&gt;ROUND(V32,4),"%Adm&gt;%Global",""))</f>
        <v/>
      </c>
      <c r="W38" s="536" t="str">
        <f t="shared" ca="1" si="34"/>
        <v/>
      </c>
      <c r="X38" s="536" t="str">
        <f t="shared" ca="1" si="34"/>
        <v/>
      </c>
      <c r="Y38" s="536" t="str">
        <f t="shared" ca="1" si="34"/>
        <v/>
      </c>
      <c r="Z38" s="536" t="str">
        <f t="shared" ca="1" si="34"/>
        <v/>
      </c>
      <c r="AA38" s="536" t="str">
        <f t="shared" ca="1" si="34"/>
        <v/>
      </c>
      <c r="AB38" s="536" t="str">
        <f t="shared" ca="1" si="34"/>
        <v/>
      </c>
      <c r="AC38" s="536" t="str">
        <f t="shared" ca="1" si="34"/>
        <v/>
      </c>
      <c r="AD38" s="536" t="str">
        <f t="shared" ca="1" si="34"/>
        <v/>
      </c>
      <c r="AE38" s="536" t="str">
        <f t="shared" ca="1" si="34"/>
        <v/>
      </c>
      <c r="AF38" s="536" t="str">
        <f t="shared" ca="1" si="34"/>
        <v/>
      </c>
      <c r="AG38" s="536" t="str">
        <f t="shared" si="34"/>
        <v/>
      </c>
    </row>
    <row r="39" spans="4:33" ht="32.25" customHeight="1" x14ac:dyDescent="0.2">
      <c r="G39" s="186" t="s">
        <v>538</v>
      </c>
      <c r="I39" s="713" t="str">
        <f>Import.Município</f>
        <v>CAÇAPAVA DO SUL/RS</v>
      </c>
      <c r="J39" s="713"/>
      <c r="K39" s="713"/>
      <c r="L39" s="713"/>
      <c r="M39" s="713"/>
      <c r="N39" s="713"/>
      <c r="O39" s="713"/>
      <c r="P39" s="713"/>
      <c r="Q39" s="713"/>
      <c r="R39" s="713"/>
      <c r="S39" s="713"/>
      <c r="AA39" s="461"/>
      <c r="AB39" s="461"/>
      <c r="AC39" s="461"/>
      <c r="AD39" s="461"/>
      <c r="AE39" s="463"/>
      <c r="AF39" s="463"/>
    </row>
    <row r="40" spans="4:33" x14ac:dyDescent="0.2">
      <c r="G40" s="186" t="s">
        <v>538</v>
      </c>
      <c r="I40" s="9" t="s">
        <v>696</v>
      </c>
      <c r="J40"/>
      <c r="K40"/>
      <c r="L40"/>
      <c r="AA40" s="182" t="s">
        <v>699</v>
      </c>
      <c r="AB40" s="182"/>
      <c r="AC40" s="182"/>
      <c r="AD40" s="182"/>
      <c r="AE40" s="186"/>
      <c r="AF40" s="186"/>
    </row>
    <row r="41" spans="4:33" x14ac:dyDescent="0.2">
      <c r="G41" s="186" t="s">
        <v>538</v>
      </c>
      <c r="I41"/>
      <c r="J41"/>
      <c r="K41"/>
      <c r="L41"/>
      <c r="AA41" s="399" t="str">
        <f t="array" aca="1" ref="AA41:AA43" ca="1">OFFSET(Import.RespOrçamento,0,-1) &amp; " " &amp; Import.RespOrçamento</f>
        <v>Nome: HELMESONA DE O. SANTANA</v>
      </c>
      <c r="AC41"/>
      <c r="AD41" s="79"/>
      <c r="AE41" s="186"/>
      <c r="AF41" s="186"/>
    </row>
    <row r="42" spans="4:33" x14ac:dyDescent="0.2">
      <c r="G42" s="186" t="s">
        <v>538</v>
      </c>
      <c r="I42" s="757">
        <f>DADOS!$C$25</f>
        <v>45803</v>
      </c>
      <c r="J42" s="757"/>
      <c r="K42" s="757"/>
      <c r="L42" s="181"/>
      <c r="M42" s="246"/>
      <c r="N42" s="246"/>
      <c r="O42" s="246"/>
      <c r="P42" s="246"/>
      <c r="Q42" s="246"/>
      <c r="R42" s="246"/>
      <c r="S42" s="247"/>
      <c r="AA42" s="399" t="str">
        <f ca="1"/>
        <v>CREA/CAU: CREA RS152843</v>
      </c>
      <c r="AC42" s="79"/>
      <c r="AD42" s="79"/>
      <c r="AE42" s="186"/>
      <c r="AF42" s="186"/>
    </row>
    <row r="43" spans="4:33" x14ac:dyDescent="0.2">
      <c r="G43" s="186" t="s">
        <v>538</v>
      </c>
      <c r="I43" s="9" t="s">
        <v>697</v>
      </c>
      <c r="J43"/>
      <c r="K43"/>
      <c r="L43"/>
      <c r="AA43" s="399" t="str">
        <f ca="1"/>
        <v>ART/RRT: ART 8809670</v>
      </c>
      <c r="AC43" s="79"/>
      <c r="AD43" s="79"/>
      <c r="AE43" s="186"/>
      <c r="AF43" s="186"/>
    </row>
  </sheetData>
  <sheetProtection password="BD1F" sheet="1" objects="1" scenarios="1" autoFilter="0"/>
  <autoFilter ref="G13:G43">
    <filterColumn colId="0">
      <filters>
        <filter val="F"/>
      </filters>
    </filterColumn>
  </autoFilter>
  <mergeCells count="18">
    <mergeCell ref="G8:G11"/>
    <mergeCell ref="I8:J8"/>
    <mergeCell ref="H7:H9"/>
    <mergeCell ref="AE4:AF4"/>
    <mergeCell ref="AE5:AF5"/>
    <mergeCell ref="Z8:AE8"/>
    <mergeCell ref="H12:H13"/>
    <mergeCell ref="I12:I13"/>
    <mergeCell ref="J12:J13"/>
    <mergeCell ref="I42:K42"/>
    <mergeCell ref="I39:S39"/>
    <mergeCell ref="H37:J37"/>
    <mergeCell ref="S12:S13"/>
    <mergeCell ref="T12:T13"/>
    <mergeCell ref="L8:T8"/>
    <mergeCell ref="U8:Y8"/>
    <mergeCell ref="K10:T11"/>
    <mergeCell ref="I27:K28"/>
  </mergeCells>
  <phoneticPr fontId="38" type="noConversion"/>
  <conditionalFormatting sqref="U12:U13">
    <cfRule type="expression" dxfId="171" priority="9798" stopIfTrue="1">
      <formula>NOT(ISNUMBER(T$12))</formula>
    </cfRule>
  </conditionalFormatting>
  <conditionalFormatting sqref="E2 U2:AF2">
    <cfRule type="expression" dxfId="170" priority="9799" stopIfTrue="1">
      <formula>AND(ISNUMBER($H1),$H1&lt;&gt;0)</formula>
    </cfRule>
  </conditionalFormatting>
  <conditionalFormatting sqref="I2:S2">
    <cfRule type="expression" dxfId="169" priority="9800" stopIfTrue="1">
      <formula>$M1=2</formula>
    </cfRule>
    <cfRule type="expression" dxfId="168" priority="9801" stopIfTrue="1">
      <formula>AND($M1=1,$S1&lt;&gt;"")</formula>
    </cfRule>
  </conditionalFormatting>
  <conditionalFormatting sqref="I1:S1">
    <cfRule type="expression" dxfId="167" priority="9802" stopIfTrue="1">
      <formula>$M1=2</formula>
    </cfRule>
    <cfRule type="expression" dxfId="166" priority="9803" stopIfTrue="1">
      <formula>AND($M1=1,$S1&lt;&gt;"")</formula>
    </cfRule>
  </conditionalFormatting>
  <conditionalFormatting sqref="E27 E29 E31:E32 E34 E36 U29:AF29 U31:AF32 U34:AF34 U36:AF36 U27:AF27">
    <cfRule type="expression" dxfId="165" priority="9804" stopIfTrue="1">
      <formula>D$32=1</formula>
    </cfRule>
  </conditionalFormatting>
  <conditionalFormatting sqref="E28 E30 E33 E35 E37 U30:AF30 U33:AF33 U35:AF35 U37:AF37 U28:AF28">
    <cfRule type="expression" dxfId="164" priority="9805" stopIfTrue="1">
      <formula>D$32=1</formula>
    </cfRule>
  </conditionalFormatting>
  <conditionalFormatting sqref="AF7:AF8">
    <cfRule type="expression" dxfId="163" priority="9809" stopIfTrue="1">
      <formula>OR(TIPOORCAMENTO&lt;&gt;"Licitado",QCI.ExisteManual)</formula>
    </cfRule>
  </conditionalFormatting>
  <conditionalFormatting sqref="Z7:AE8">
    <cfRule type="expression" dxfId="162" priority="9797" stopIfTrue="1">
      <formula>QCI.ExisteManual</formula>
    </cfRule>
  </conditionalFormatting>
  <conditionalFormatting sqref="H2">
    <cfRule type="expression" dxfId="161" priority="5943">
      <formula>AND(H1&lt;&gt;0,ISNUMBER(H1))</formula>
    </cfRule>
  </conditionalFormatting>
  <conditionalFormatting sqref="E37 U37:AF37">
    <cfRule type="expression" dxfId="160" priority="5934">
      <formula>ROUND(E37,4)&gt;ROUND(E32,4)</formula>
    </cfRule>
  </conditionalFormatting>
  <conditionalFormatting sqref="H1">
    <cfRule type="expression" dxfId="159" priority="5933">
      <formula>AND(H1&lt;&gt;0,ISNUMBER(H1))</formula>
    </cfRule>
  </conditionalFormatting>
  <conditionalFormatting sqref="H37:J37">
    <cfRule type="expression" dxfId="158" priority="5932">
      <formula>$H$36=""</formula>
    </cfRule>
  </conditionalFormatting>
  <conditionalFormatting sqref="E37">
    <cfRule type="expression" dxfId="157" priority="5925" stopIfTrue="1">
      <formula>D$32=1</formula>
    </cfRule>
  </conditionalFormatting>
  <conditionalFormatting sqref="E1">
    <cfRule type="expression" dxfId="156" priority="5922" stopIfTrue="1">
      <formula>E1&lt;&gt;0</formula>
    </cfRule>
  </conditionalFormatting>
  <conditionalFormatting sqref="E2">
    <cfRule type="expression" dxfId="155" priority="5921">
      <formula>AND(_xlfn.SINGLE(ACOMPANHAMENTO)="BM",E2&gt;ROUND(E2,4))</formula>
    </cfRule>
  </conditionalFormatting>
  <conditionalFormatting sqref="E37">
    <cfRule type="expression" dxfId="154" priority="5920" stopIfTrue="1">
      <formula>D$32=1</formula>
    </cfRule>
  </conditionalFormatting>
  <conditionalFormatting sqref="U1:AF1">
    <cfRule type="expression" dxfId="153" priority="5919" stopIfTrue="1">
      <formula>U1&lt;&gt;0</formula>
    </cfRule>
  </conditionalFormatting>
  <conditionalFormatting sqref="U2:AF2">
    <cfRule type="expression" dxfId="152" priority="5918">
      <formula>AND(_xlfn.SINGLE(ACOMPANHAMENTO)="BM",U2&gt;ROUND(U2,4))</formula>
    </cfRule>
  </conditionalFormatting>
  <conditionalFormatting sqref="E15 E18 E21 U15:AF15 U18:AF18 U21:AF21">
    <cfRule type="expression" dxfId="151" priority="183" stopIfTrue="1">
      <formula>AND(ISNUMBER($H14),$H14&lt;&gt;0)</formula>
    </cfRule>
  </conditionalFormatting>
  <conditionalFormatting sqref="I15:S15 I18:S18 I21:S21">
    <cfRule type="expression" dxfId="150" priority="184" stopIfTrue="1">
      <formula>$M14=2</formula>
    </cfRule>
    <cfRule type="expression" dxfId="149" priority="185" stopIfTrue="1">
      <formula>AND($M14=1,$S14&lt;&gt;"")</formula>
    </cfRule>
  </conditionalFormatting>
  <conditionalFormatting sqref="I14:S14 I17:S17 I20:S20">
    <cfRule type="expression" dxfId="148" priority="186" stopIfTrue="1">
      <formula>$M14=2</formula>
    </cfRule>
    <cfRule type="expression" dxfId="147" priority="187" stopIfTrue="1">
      <formula>AND($M14=1,$S14&lt;&gt;"")</formula>
    </cfRule>
  </conditionalFormatting>
  <conditionalFormatting sqref="H15 H18 H21">
    <cfRule type="expression" dxfId="146" priority="182">
      <formula>AND(H14&lt;&gt;0,ISNUMBER(H14))</formula>
    </cfRule>
  </conditionalFormatting>
  <conditionalFormatting sqref="H14 H17 H20">
    <cfRule type="expression" dxfId="145" priority="181">
      <formula>AND(H14&lt;&gt;0,ISNUMBER(H14))</formula>
    </cfRule>
  </conditionalFormatting>
  <conditionalFormatting sqref="E14 E17 E20">
    <cfRule type="expression" dxfId="144" priority="180" stopIfTrue="1">
      <formula>E14&lt;&gt;0</formula>
    </cfRule>
  </conditionalFormatting>
  <conditionalFormatting sqref="E15 E18 E21">
    <cfRule type="expression" dxfId="143" priority="179">
      <formula>AND(_xlfn.SINGLE(ACOMPANHAMENTO)="BM",E15&gt;ROUND(E15,4))</formula>
    </cfRule>
  </conditionalFormatting>
  <conditionalFormatting sqref="U14:AF14 U17:AF17 U20:AF20">
    <cfRule type="expression" dxfId="142" priority="178" stopIfTrue="1">
      <formula>U14&lt;&gt;0</formula>
    </cfRule>
  </conditionalFormatting>
  <conditionalFormatting sqref="U15:AF15 U18:AF18 U21:AF21">
    <cfRule type="expression" dxfId="141" priority="177">
      <formula>AND(_xlfn.SINGLE(ACOMPANHAMENTO)="BM",U15&gt;ROUND(U15,4))</formula>
    </cfRule>
  </conditionalFormatting>
  <conditionalFormatting sqref="E24 U24:AF24">
    <cfRule type="expression" dxfId="140" priority="172" stopIfTrue="1">
      <formula>AND(ISNUMBER($H23),$H23&lt;&gt;0)</formula>
    </cfRule>
  </conditionalFormatting>
  <conditionalFormatting sqref="I24:S24">
    <cfRule type="expression" dxfId="139" priority="173" stopIfTrue="1">
      <formula>$M23=2</formula>
    </cfRule>
    <cfRule type="expression" dxfId="138" priority="174" stopIfTrue="1">
      <formula>AND($M23=1,$S23&lt;&gt;"")</formula>
    </cfRule>
  </conditionalFormatting>
  <conditionalFormatting sqref="I23:S23">
    <cfRule type="expression" dxfId="137" priority="175" stopIfTrue="1">
      <formula>$M23=2</formula>
    </cfRule>
    <cfRule type="expression" dxfId="136" priority="176" stopIfTrue="1">
      <formula>AND($M23=1,$S23&lt;&gt;"")</formula>
    </cfRule>
  </conditionalFormatting>
  <conditionalFormatting sqref="H24">
    <cfRule type="expression" dxfId="135" priority="171">
      <formula>AND(H23&lt;&gt;0,ISNUMBER(H23))</formula>
    </cfRule>
  </conditionalFormatting>
  <conditionalFormatting sqref="H23">
    <cfRule type="expression" dxfId="134" priority="170">
      <formula>AND(H23&lt;&gt;0,ISNUMBER(H23))</formula>
    </cfRule>
  </conditionalFormatting>
  <conditionalFormatting sqref="E23">
    <cfRule type="expression" dxfId="133" priority="169" stopIfTrue="1">
      <formula>E23&lt;&gt;0</formula>
    </cfRule>
  </conditionalFormatting>
  <conditionalFormatting sqref="E24">
    <cfRule type="expression" dxfId="132" priority="168">
      <formula>AND(_xlfn.SINGLE(ACOMPANHAMENTO)="BM",E24&gt;ROUND(E24,4))</formula>
    </cfRule>
  </conditionalFormatting>
  <conditionalFormatting sqref="U23:AF23">
    <cfRule type="expression" dxfId="131" priority="167" stopIfTrue="1">
      <formula>U23&lt;&gt;0</formula>
    </cfRule>
  </conditionalFormatting>
  <conditionalFormatting sqref="U24:AF24">
    <cfRule type="expression" dxfId="130" priority="166">
      <formula>AND(_xlfn.SINGLE(ACOMPANHAMENTO)="BM",U24&gt;ROUND(U24,4))</formula>
    </cfRule>
  </conditionalFormatting>
  <dataValidations count="6">
    <dataValidation type="list" allowBlank="1" showErrorMessage="1" errorTitle="Obrigatório:" error="Selecione o nível (2, 3 ou 4) do agrupador a exibir no cronograma." sqref="H10">
      <formula1>"2,3,4"</formula1>
    </dataValidation>
    <dataValidation allowBlank="1" showInputMessage="1" showErrorMessage="1" prompt="Preencha na célula de baixo. Se o acompanhamento for PLE, preencha no botão PREENCHIMENTO POR EVENTOS, acima." sqref="E1 U1:AF1 E14 E17 E20 U14:AF14 U17:AF17 U20:AF20 E23 U23:AF23"/>
    <dataValidation type="whole" operator="greaterThan" allowBlank="1" showErrorMessage="1" sqref="U12">
      <formula1>0</formula1>
      <formula2>0</formula2>
    </dataValidation>
    <dataValidation type="decimal" allowBlank="1" showErrorMessage="1" error="Porcentagem Acumulada &gt; 100%." sqref="E2 U2:AG2 E15 E18 E21 U15:AG15 U18:AG18 U21:AG21 E24 U24:AG24">
      <formula1>0</formula1>
      <formula2>CRONO.MaxParc</formula2>
    </dataValidation>
    <dataValidation type="date" operator="greaterThan" allowBlank="1" showInputMessage="1" showErrorMessage="1" errorTitle="Erro" error="Digite somente datas." sqref="U13">
      <formula1>36526</formula1>
    </dataValidation>
    <dataValidation type="list" allowBlank="1" showErrorMessage="1" errorTitle="Atenção" error="Selecione uma opção da lista." sqref="H37:J37">
      <formula1>$A$13:$A$26</formula1>
    </dataValidation>
  </dataValidations>
  <pageMargins left="0.78740157480314965" right="0.78740157480314965" top="0.78740157480314965" bottom="0.78740157480314965" header="0.59055118110236227" footer="0.59055118110236227"/>
  <pageSetup paperSize="9" scale="66" firstPageNumber="0" orientation="landscape" r:id="rId1"/>
  <headerFooter alignWithMargins="0">
    <oddHeader>&amp;C&amp;14I</oddHeader>
    <oddFooter>&amp;LPMv3.10&amp;R&amp;P /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18</vt:i4>
      </vt:variant>
      <vt:variant>
        <vt:lpstr>Intervalos nomeados</vt:lpstr>
      </vt:variant>
      <vt:variant>
        <vt:i4>256</vt:i4>
      </vt:variant>
    </vt:vector>
  </HeadingPairs>
  <TitlesOfParts>
    <vt:vector size="274" baseType="lpstr">
      <vt:lpstr>NOVO</vt:lpstr>
      <vt:lpstr>MENU</vt:lpstr>
      <vt:lpstr>DADOS</vt:lpstr>
      <vt:lpstr>BDI</vt:lpstr>
      <vt:lpstr>ORÇAMENTO</vt:lpstr>
      <vt:lpstr>EVENTOS</vt:lpstr>
      <vt:lpstr>CÁLCULO</vt:lpstr>
      <vt:lpstr>CRONOPLE</vt:lpstr>
      <vt:lpstr>CRONO</vt:lpstr>
      <vt:lpstr>QCI</vt:lpstr>
      <vt:lpstr>PLE</vt:lpstr>
      <vt:lpstr>BM</vt:lpstr>
      <vt:lpstr>RRE</vt:lpstr>
      <vt:lpstr>OFÍCIO</vt:lpstr>
      <vt:lpstr>PO-PLE</vt:lpstr>
      <vt:lpstr>CFF-PLE</vt:lpstr>
      <vt:lpstr>PO-BM</vt:lpstr>
      <vt:lpstr>CFF-BM</vt:lpstr>
      <vt:lpstr>BDI!_FiltrarBancodeDados</vt:lpstr>
      <vt:lpstr>BM!_FiltrarBancodeDados</vt:lpstr>
      <vt:lpstr>CÁLCULO!_FiltrarBancodeDados</vt:lpstr>
      <vt:lpstr>CRONOPLE!_FiltrarBancodeDados</vt:lpstr>
      <vt:lpstr>EVENTOS!_FiltrarBancodeDados</vt:lpstr>
      <vt:lpstr>ORÇAMENTO!_FiltrarBancodeDados</vt:lpstr>
      <vt:lpstr>PLE!_FiltrarBancodeDados</vt:lpstr>
      <vt:lpstr>QCI!_FiltrarBancodeDados</vt:lpstr>
      <vt:lpstr>RRE!_FiltrarBancodeDados</vt:lpstr>
      <vt:lpstr>ACOMPANHAMENTO</vt:lpstr>
      <vt:lpstr>AdmLocal</vt:lpstr>
      <vt:lpstr>BDI!Area_de_impressao</vt:lpstr>
      <vt:lpstr>BM!Area_de_impressao</vt:lpstr>
      <vt:lpstr>CÁLCULO!Area_de_impressao</vt:lpstr>
      <vt:lpstr>CRONO!Area_de_impressao</vt:lpstr>
      <vt:lpstr>EVENTOS!Area_de_impressao</vt:lpstr>
      <vt:lpstr>MENU!Area_de_impressao</vt:lpstr>
      <vt:lpstr>OFÍCIO!Area_de_impressao</vt:lpstr>
      <vt:lpstr>ORÇAMENTO!Area_de_impressao</vt:lpstr>
      <vt:lpstr>PLE!Area_de_impressao</vt:lpstr>
      <vt:lpstr>QCI!Area_de_impressao</vt:lpstr>
      <vt:lpstr>RRE!Area_de_impressao</vt:lpstr>
      <vt:lpstr>AUTOEVENTO</vt:lpstr>
      <vt:lpstr>BDI.ColAux</vt:lpstr>
      <vt:lpstr>BDI.Erro</vt:lpstr>
      <vt:lpstr>BDI.Filtro</vt:lpstr>
      <vt:lpstr>BDI.Opcao</vt:lpstr>
      <vt:lpstr>BDI.TipoObra</vt:lpstr>
      <vt:lpstr>BDI_1.Título</vt:lpstr>
      <vt:lpstr>BDI_2.Título</vt:lpstr>
      <vt:lpstr>BDI_3.Título</vt:lpstr>
      <vt:lpstr>BM.AFAcumulado</vt:lpstr>
      <vt:lpstr>BM.AFAnterior</vt:lpstr>
      <vt:lpstr>BM.CaixaColunas</vt:lpstr>
      <vt:lpstr>BM.Erro</vt:lpstr>
      <vt:lpstr>BM.Filtro</vt:lpstr>
      <vt:lpstr>BM.firstrow</vt:lpstr>
      <vt:lpstr>BM.FormulaMed</vt:lpstr>
      <vt:lpstr>BM.lastrow</vt:lpstr>
      <vt:lpstr>BM.LinhaPadrão</vt:lpstr>
      <vt:lpstr>BM.MCAIXA.Filter</vt:lpstr>
      <vt:lpstr>BM.Título</vt:lpstr>
      <vt:lpstr>BM.TomadorColunas</vt:lpstr>
      <vt:lpstr>Brasao</vt:lpstr>
      <vt:lpstr>CAIXA.Modo</vt:lpstr>
      <vt:lpstr>CÁLCULO.AgrupEventos</vt:lpstr>
      <vt:lpstr>CÁLCULO.ColunaPadrão</vt:lpstr>
      <vt:lpstr>CÁLCULO.Erro</vt:lpstr>
      <vt:lpstr>CÁLCULO.Filtro</vt:lpstr>
      <vt:lpstr>CÁLCULO.firstcol</vt:lpstr>
      <vt:lpstr>CÁLCULO.firstrow</vt:lpstr>
      <vt:lpstr>CÁLCULO.Frenterow</vt:lpstr>
      <vt:lpstr>CÁLCULO.FrentesPreenchidas</vt:lpstr>
      <vt:lpstr>CÁLCULO.lastcol</vt:lpstr>
      <vt:lpstr>CÁLCULO.lastrow</vt:lpstr>
      <vt:lpstr>CÁLCULO.LinhaPadrão</vt:lpstr>
      <vt:lpstr>CÁLCULO.margemrow</vt:lpstr>
      <vt:lpstr>CÁLCULO.MATRIZ1.ColunaPadrão</vt:lpstr>
      <vt:lpstr>CÁLCULO.MATRIZ1.firstcol</vt:lpstr>
      <vt:lpstr>CÁLCULO.MATRIZ1.lastcol</vt:lpstr>
      <vt:lpstr>CÁLCULO.MATRIZ1.lastrow</vt:lpstr>
      <vt:lpstr>CÁLCULO.MATRIZ2.ColunaPadrão</vt:lpstr>
      <vt:lpstr>CÁLCULO.MATRIZ2.firstcol</vt:lpstr>
      <vt:lpstr>CÁLCULO.MATRIZ2.lastcol</vt:lpstr>
      <vt:lpstr>CÁLCULO.MATRIZ2.lastrow</vt:lpstr>
      <vt:lpstr>CÁLCULO.MATRIZ3.ColunaPadrão</vt:lpstr>
      <vt:lpstr>CÁLCULO.MATRIZ3.firstcol</vt:lpstr>
      <vt:lpstr>CÁLCULO.MATRIZ3.lastcol</vt:lpstr>
      <vt:lpstr>CÁLCULO.MATRIZ3.lastrow</vt:lpstr>
      <vt:lpstr>CÁLCULO.nEvento</vt:lpstr>
      <vt:lpstr>CÁLCULO.Título</vt:lpstr>
      <vt:lpstr>CRONO.ColAux</vt:lpstr>
      <vt:lpstr>CRONO.ColunaPadrão</vt:lpstr>
      <vt:lpstr>CRONO.Erro</vt:lpstr>
      <vt:lpstr>CRONO.Filtro</vt:lpstr>
      <vt:lpstr>CRONO.FirstCol</vt:lpstr>
      <vt:lpstr>CRONO.firstrow</vt:lpstr>
      <vt:lpstr>CRONO.Frenterow</vt:lpstr>
      <vt:lpstr>CRONO.LastCol</vt:lpstr>
      <vt:lpstr>CRONO.lastrow</vt:lpstr>
      <vt:lpstr>CRONO.lastrow2</vt:lpstr>
      <vt:lpstr>CRONO.LinhaPadrão</vt:lpstr>
      <vt:lpstr>CRONO.margemrow</vt:lpstr>
      <vt:lpstr>CRONO.NivelExibicao</vt:lpstr>
      <vt:lpstr>CRONO.Parcela1</vt:lpstr>
      <vt:lpstr>CRONO.Título</vt:lpstr>
      <vt:lpstr>CRONOPLE.ColunaPadrão</vt:lpstr>
      <vt:lpstr>CRONOPLE.Erro</vt:lpstr>
      <vt:lpstr>CRONOPLE.Filtro</vt:lpstr>
      <vt:lpstr>CRONOPLE.FirstCol</vt:lpstr>
      <vt:lpstr>CRONOPLE.firstrow</vt:lpstr>
      <vt:lpstr>CRONOPLE.Frenterow</vt:lpstr>
      <vt:lpstr>CRONOPLE.LastCol</vt:lpstr>
      <vt:lpstr>CRONOPLE.lastrow</vt:lpstr>
      <vt:lpstr>CRONOPLE.lastrow2</vt:lpstr>
      <vt:lpstr>CRONOPLE.LinhaPadrão</vt:lpstr>
      <vt:lpstr>CRONOPLE.margemrow</vt:lpstr>
      <vt:lpstr>CRONOPLE.Título</vt:lpstr>
      <vt:lpstr>DADOS.ColAux</vt:lpstr>
      <vt:lpstr>DADOS.Erro</vt:lpstr>
      <vt:lpstr>EVENTOS.ColunaPadrão</vt:lpstr>
      <vt:lpstr>EVENTOS.Erro</vt:lpstr>
      <vt:lpstr>EVENTOS.Filtro</vt:lpstr>
      <vt:lpstr>EVENTOS.firstcol</vt:lpstr>
      <vt:lpstr>EVENTOS.firstrow</vt:lpstr>
      <vt:lpstr>EVENTOS.FrenteRow</vt:lpstr>
      <vt:lpstr>EVENTOS.LastCol</vt:lpstr>
      <vt:lpstr>EVENTOS.lastrow</vt:lpstr>
      <vt:lpstr>EVENTOS.LinhaPadrão</vt:lpstr>
      <vt:lpstr>EVENTOS.Manual.Preenchidos</vt:lpstr>
      <vt:lpstr>EVENTOS.MargemRow</vt:lpstr>
      <vt:lpstr>EVENTOS.Título</vt:lpstr>
      <vt:lpstr>Import.Apelido</vt:lpstr>
      <vt:lpstr>Import.BDI.Det1</vt:lpstr>
      <vt:lpstr>Import.BDI.Det2</vt:lpstr>
      <vt:lpstr>Import.BDI.Det3</vt:lpstr>
      <vt:lpstr>Import.BDI.ISS</vt:lpstr>
      <vt:lpstr>Import.BDI.Obs1</vt:lpstr>
      <vt:lpstr>Import.BDI.Obs2</vt:lpstr>
      <vt:lpstr>Import.BDI.Obs3</vt:lpstr>
      <vt:lpstr>Import.BDI.Tipo1</vt:lpstr>
      <vt:lpstr>Import.BDI.Tipo2</vt:lpstr>
      <vt:lpstr>Import.BDI.Tipo3</vt:lpstr>
      <vt:lpstr>Import.BM.Datas</vt:lpstr>
      <vt:lpstr>Import.BM.Obs</vt:lpstr>
      <vt:lpstr>Import.BMArred</vt:lpstr>
      <vt:lpstr>Import.CNPJ</vt:lpstr>
      <vt:lpstr>Import.Contrapartida</vt:lpstr>
      <vt:lpstr>Import.CPMaxPerc</vt:lpstr>
      <vt:lpstr>Import.CPMinAbsoluta</vt:lpstr>
      <vt:lpstr>Import.CPMinPerc</vt:lpstr>
      <vt:lpstr>Import.CR</vt:lpstr>
      <vt:lpstr>Import.CTEF</vt:lpstr>
      <vt:lpstr>Import.DataEmissaoLicit</vt:lpstr>
      <vt:lpstr>Import.DataFechaRRE</vt:lpstr>
      <vt:lpstr>Import.DataInicioObra</vt:lpstr>
      <vt:lpstr>Import.DescLote</vt:lpstr>
      <vt:lpstr>Import.empresa</vt:lpstr>
      <vt:lpstr>Import.EventoAdmLocal</vt:lpstr>
      <vt:lpstr>Import.Eventos.Nível</vt:lpstr>
      <vt:lpstr>Import.MacrosserviçoAdmLocal</vt:lpstr>
      <vt:lpstr>Import.Município</vt:lpstr>
      <vt:lpstr>Import.Ofício.Dest</vt:lpstr>
      <vt:lpstr>Import.Ofício.GIGOV</vt:lpstr>
      <vt:lpstr>Import.Ofício.Num</vt:lpstr>
      <vt:lpstr>Import.ORÇAMENTO.Obs</vt:lpstr>
      <vt:lpstr>Import.PLE.Datas</vt:lpstr>
      <vt:lpstr>Import.POArred</vt:lpstr>
      <vt:lpstr>IMport.Prefeito</vt:lpstr>
      <vt:lpstr>Import.Proponente</vt:lpstr>
      <vt:lpstr>Import.QCI.Obs</vt:lpstr>
      <vt:lpstr>import.recurso</vt:lpstr>
      <vt:lpstr>Import.Repasse</vt:lpstr>
      <vt:lpstr>Import.RespFiscalização</vt:lpstr>
      <vt:lpstr>Import.RespOrçamento</vt:lpstr>
      <vt:lpstr>Import.RRE.Financeiro</vt:lpstr>
      <vt:lpstr>Import.RRE.Obs</vt:lpstr>
      <vt:lpstr>Import.RRE.Social</vt:lpstr>
      <vt:lpstr>Import.SICONV</vt:lpstr>
      <vt:lpstr>Import.TipoArredondamento</vt:lpstr>
      <vt:lpstr>Import.TransfereGOV</vt:lpstr>
      <vt:lpstr>ListaTgov.Unidades</vt:lpstr>
      <vt:lpstr>MENU.Acompanhamento</vt:lpstr>
      <vt:lpstr>Menu.b.bdi</vt:lpstr>
      <vt:lpstr>Menu.b.bm</vt:lpstr>
      <vt:lpstr>Menu.b.branco</vt:lpstr>
      <vt:lpstr>Menu.b.cronolicit</vt:lpstr>
      <vt:lpstr>Menu.b.cronoprop</vt:lpstr>
      <vt:lpstr>Menu.b.dados</vt:lpstr>
      <vt:lpstr>Menu.b.novo</vt:lpstr>
      <vt:lpstr>Menu.b.oficio</vt:lpstr>
      <vt:lpstr>Menu.b.orçlicit</vt:lpstr>
      <vt:lpstr>Menu.b.orçprop</vt:lpstr>
      <vt:lpstr>Menu.b.PLE</vt:lpstr>
      <vt:lpstr>Menu.b.PLQ</vt:lpstr>
      <vt:lpstr>Menu.b.QCIlicit</vt:lpstr>
      <vt:lpstr>Menu.b.qciprop</vt:lpstr>
      <vt:lpstr>Menu.b.RRE</vt:lpstr>
      <vt:lpstr>MENU.Import.Form.PLQ</vt:lpstr>
      <vt:lpstr>MENU.Import.Form.PreçoUnit</vt:lpstr>
      <vt:lpstr>MENU.TipoOrçamento</vt:lpstr>
      <vt:lpstr>Menu.tit.acompanhamento</vt:lpstr>
      <vt:lpstr>Menu.tit.licitacao</vt:lpstr>
      <vt:lpstr>Menu.tit.proposta</vt:lpstr>
      <vt:lpstr>Objeto</vt:lpstr>
      <vt:lpstr>OFÍCIO.Erro</vt:lpstr>
      <vt:lpstr>ORÇAMENTO.BancoRef</vt:lpstr>
      <vt:lpstr>ORÇAMENTO.Codigo</vt:lpstr>
      <vt:lpstr>ORÇAMENTO.ColAux1</vt:lpstr>
      <vt:lpstr>ORÇAMENTO.ColAux2</vt:lpstr>
      <vt:lpstr>ORÇAMENTO.ColunaLicit</vt:lpstr>
      <vt:lpstr>ORÇAMENTO.CopyFormat1</vt:lpstr>
      <vt:lpstr>ORÇAMENTO.CopyFormat2</vt:lpstr>
      <vt:lpstr>ORÇAMENTO.Descricao</vt:lpstr>
      <vt:lpstr>ORÇAMENTO.Erro</vt:lpstr>
      <vt:lpstr>ORÇAMENTO.Filtro</vt:lpstr>
      <vt:lpstr>ORÇAMENTO.firstrow</vt:lpstr>
      <vt:lpstr>ORÇAMENTO.Fonte</vt:lpstr>
      <vt:lpstr>ORÇAMENTO.lastrow</vt:lpstr>
      <vt:lpstr>ORÇAMENTO.LinhaPadrão</vt:lpstr>
      <vt:lpstr>ORÇAMENTO.Nivel</vt:lpstr>
      <vt:lpstr>ORÇAMENTO.OpcaoBDI</vt:lpstr>
      <vt:lpstr>ORÇAMENTO.PrecoUnitarioLicitado</vt:lpstr>
      <vt:lpstr>ORÇAMENTO.QuantBM</vt:lpstr>
      <vt:lpstr>ORÇAMENTO.Título</vt:lpstr>
      <vt:lpstr>ORÇAMENTO.Unidade</vt:lpstr>
      <vt:lpstr>PLE.ColunaPadrão</vt:lpstr>
      <vt:lpstr>PLE.Erro</vt:lpstr>
      <vt:lpstr>PLE.Filtro</vt:lpstr>
      <vt:lpstr>PLE.FirstCol</vt:lpstr>
      <vt:lpstr>PLE.firstrow</vt:lpstr>
      <vt:lpstr>PLE.FrenteRow</vt:lpstr>
      <vt:lpstr>PLE.LastCol</vt:lpstr>
      <vt:lpstr>PLE.lastrow</vt:lpstr>
      <vt:lpstr>PLE.LinhaPadrão</vt:lpstr>
      <vt:lpstr>PLE.margemrow</vt:lpstr>
      <vt:lpstr>PLE.Medicao</vt:lpstr>
      <vt:lpstr>PLE.MEDIÇÕES.firstrow</vt:lpstr>
      <vt:lpstr>PLE.MEDIÇÕES.lastrow</vt:lpstr>
      <vt:lpstr>PLE.MEDIÇÕES.LinhaPadrão</vt:lpstr>
      <vt:lpstr>PLE.Título</vt:lpstr>
      <vt:lpstr>QCI.ColAux</vt:lpstr>
      <vt:lpstr>QCI.DescManual</vt:lpstr>
      <vt:lpstr>QCI.Divisao</vt:lpstr>
      <vt:lpstr>QCI.Erro</vt:lpstr>
      <vt:lpstr>QCI.Filtro</vt:lpstr>
      <vt:lpstr>QCI.firstrow</vt:lpstr>
      <vt:lpstr>QCI.lastrow</vt:lpstr>
      <vt:lpstr>QCI.LinhaPadrão</vt:lpstr>
      <vt:lpstr>QCI.LoteManual</vt:lpstr>
      <vt:lpstr>QCI.RepasseManual</vt:lpstr>
      <vt:lpstr>QCI.Título</vt:lpstr>
      <vt:lpstr>QCI.TotalCP</vt:lpstr>
      <vt:lpstr>RRE.ColAux1</vt:lpstr>
      <vt:lpstr>RRE.ColAux2</vt:lpstr>
      <vt:lpstr>RRE.CPDiferente</vt:lpstr>
      <vt:lpstr>RRE.Filtro</vt:lpstr>
      <vt:lpstr>RRE.firstrow</vt:lpstr>
      <vt:lpstr>RRE.lastrow</vt:lpstr>
      <vt:lpstr>RRE.LinhaPadrão</vt:lpstr>
      <vt:lpstr>RRE.MaxCPAcum</vt:lpstr>
      <vt:lpstr>RRE.MaxCPAnt</vt:lpstr>
      <vt:lpstr>RRE.MaxOUAcum</vt:lpstr>
      <vt:lpstr>RRE.MaxOUAnt</vt:lpstr>
      <vt:lpstr>RRE.Título</vt:lpstr>
      <vt:lpstr>RRE.VIMeta</vt:lpstr>
      <vt:lpstr>BDI!Titulos_de_impressao</vt:lpstr>
      <vt:lpstr>BM!Titulos_de_impressao</vt:lpstr>
      <vt:lpstr>CÁLCULO!Titulos_de_impressao</vt:lpstr>
      <vt:lpstr>CRONO!Titulos_de_impressao</vt:lpstr>
      <vt:lpstr>ORÇAMENTO!Titulos_de_impressao</vt:lpstr>
      <vt:lpstr>PLE!Titulos_de_impressao</vt:lpstr>
      <vt:lpstr>QCI!Titulos_de_impressao</vt:lpstr>
      <vt:lpstr>RRE!Titulos_de_impressao</vt:lpstr>
      <vt:lpstr>Versao</vt:lpstr>
      <vt:lpstr>VTOTALMED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CAIXA - GN Padronização e normas técnicas</dc:creator>
  <cp:keywords/>
  <dc:description/>
  <cp:lastModifiedBy>PMC</cp:lastModifiedBy>
  <cp:revision>5</cp:revision>
  <cp:lastPrinted>2025-07-16T12:46:30Z</cp:lastPrinted>
  <dcterms:created xsi:type="dcterms:W3CDTF">1997-01-10T22:22:50Z</dcterms:created>
  <dcterms:modified xsi:type="dcterms:W3CDTF">2025-08-20T13:49:09Z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de7aacd-7cc4-4c31-9e6f-7ef306428f09_Enabled">
    <vt:lpwstr>true</vt:lpwstr>
  </property>
  <property fmtid="{D5CDD505-2E9C-101B-9397-08002B2CF9AE}" pid="3" name="MSIP_Label_fde7aacd-7cc4-4c31-9e6f-7ef306428f09_SetDate">
    <vt:lpwstr>2023-11-21T19:16:23Z</vt:lpwstr>
  </property>
  <property fmtid="{D5CDD505-2E9C-101B-9397-08002B2CF9AE}" pid="4" name="MSIP_Label_fde7aacd-7cc4-4c31-9e6f-7ef306428f09_Method">
    <vt:lpwstr>Privileged</vt:lpwstr>
  </property>
  <property fmtid="{D5CDD505-2E9C-101B-9397-08002B2CF9AE}" pid="5" name="MSIP_Label_fde7aacd-7cc4-4c31-9e6f-7ef306428f09_Name">
    <vt:lpwstr>_PUBLICO</vt:lpwstr>
  </property>
  <property fmtid="{D5CDD505-2E9C-101B-9397-08002B2CF9AE}" pid="6" name="MSIP_Label_fde7aacd-7cc4-4c31-9e6f-7ef306428f09_SiteId">
    <vt:lpwstr>ab9bba98-684a-43fb-add8-9c2bebede229</vt:lpwstr>
  </property>
  <property fmtid="{D5CDD505-2E9C-101B-9397-08002B2CF9AE}" pid="7" name="MSIP_Label_fde7aacd-7cc4-4c31-9e6f-7ef306428f09_ActionId">
    <vt:lpwstr>a35afa61-0e86-4f3f-84ac-6edb60dde1d6</vt:lpwstr>
  </property>
  <property fmtid="{D5CDD505-2E9C-101B-9397-08002B2CF9AE}" pid="8" name="MSIP_Label_fde7aacd-7cc4-4c31-9e6f-7ef306428f09_ContentBits">
    <vt:lpwstr>1</vt:lpwstr>
  </property>
</Properties>
</file>