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PMC\Desktop\Calçamento Tomé\"/>
    </mc:Choice>
  </mc:AlternateContent>
  <bookViews>
    <workbookView xWindow="0" yWindow="0" windowWidth="20400" windowHeight="7620" tabRatio="801" activeTab="8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BM!$C$15:$C$32</definedName>
    <definedName name="_xlnm._FilterDatabase" localSheetId="5" hidden="1">CÁLCULO!$C$15:$C$32</definedName>
    <definedName name="_xlnm._FilterDatabase" localSheetId="7" hidden="1">CRONO!$F$13:$F$48</definedName>
    <definedName name="_xlnm._FilterDatabase" localSheetId="8" hidden="1">CRONOPLE!$A$13:$A$15</definedName>
    <definedName name="_xlnm._FilterDatabase" localSheetId="4" hidden="1">ORÇAMENTO!$L$15:$L$32</definedName>
    <definedName name="_xlnm._FilterDatabase" localSheetId="9" hidden="1">PLE!$A$13:$A$34</definedName>
    <definedName name="_xlnm._FilterDatabase" localSheetId="10" hidden="1">QCI!$C$13:$C$16</definedName>
    <definedName name="_xlnm._FilterDatabase" localSheetId="12" hidden="1">RRE!$D$13:$D$21</definedName>
    <definedName name="ACOMPANHAMENTO" hidden="1">IF(VALUE(MENU!$O$4)=2,"BM","PLE")</definedName>
    <definedName name="_xlnm.Print_Area" localSheetId="3">BDI!$J$4:$S$132</definedName>
    <definedName name="_xlnm.Print_Area" localSheetId="11">BM!$D$1:$O$47</definedName>
    <definedName name="_xlnm.Print_Area" localSheetId="5">CÁLCULO!$E$4:$I$40</definedName>
    <definedName name="_xlnm.Print_Area" localSheetId="7">CRONO!$H$7:$AF$48</definedName>
    <definedName name="_xlnm.Print_Area" localSheetId="0">MENU!$A$1:$I$25</definedName>
    <definedName name="_xlnm.Print_Area" localSheetId="13">OFÍCIO!$A$1:$G$56</definedName>
    <definedName name="_xlnm.Print_Area" localSheetId="4">ORÇAMENTO!$O$4:$X$49</definedName>
    <definedName name="_xlnm.Print_Area" localSheetId="9">PLE!$B$3:$AG$35</definedName>
    <definedName name="_xlnm.Print_Area" localSheetId="10">QCI!$D$3:$O$28</definedName>
    <definedName name="_xlnm.Print_Area" localSheetId="12">RRE!$E$1:$P$40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BM!$C$15:$C$32</definedName>
    <definedName name="BM.firstrow" hidden="1">BM!$15:$15</definedName>
    <definedName name="BM.FormulaMed" hidden="1">BM!$AO$7</definedName>
    <definedName name="BM.lastrow" hidden="1">BM!$32:$32</definedName>
    <definedName name="BM.LinhaPadrão" hidden="1">BM!$14:$14</definedName>
    <definedName name="BM.MaxMed" hidden="1">IF(RegimeExecucao="Global",1,BM!$G1)</definedName>
    <definedName name="BM.MCAIXA.Filter" hidden="1">BM!$C$15:$Z$32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CÁLCULO!$C$15:$C$32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CÁLCULO!$AA:$AA</definedName>
    <definedName name="CÁLCULO.lastrow" hidden="1">CÁLCULO!$32:$32</definedName>
    <definedName name="CÁLCULO.LinhaPadrão" hidden="1">CÁLCULO!$14:$14</definedName>
    <definedName name="CÁLCULO.margemrow" hidden="1">CÁLCULO!$40:$40</definedName>
    <definedName name="CÁLCULO.MATRIZ1.ColunaPadrão" hidden="1">CÁLCULO!$AC:$AC</definedName>
    <definedName name="CÁLCULO.MATRIZ1.firstcol" hidden="1">CÁLCULO!$AA:$AA</definedName>
    <definedName name="CÁLCULO.MATRIZ1.lastcol" hidden="1">CÁLCULO!$AL:$AL</definedName>
    <definedName name="CÁLCULO.MATRIZ1.lastrow" hidden="1">CÁLCULO!$32:$32</definedName>
    <definedName name="CÁLCULO.MATRIZ2.ColunaPadrão" hidden="1">CÁLCULO!$AN:$AN</definedName>
    <definedName name="CÁLCULO.MATRIZ2.firstcol" hidden="1">CÁLCULO!$AL:$AL</definedName>
    <definedName name="CÁLCULO.MATRIZ2.lastcol" hidden="1">CÁLCULO!$AW:$AW</definedName>
    <definedName name="CÁLCULO.MATRIZ2.lastrow" hidden="1">CÁLCULO!$32:$32</definedName>
    <definedName name="CÁLCULO.MATRIZ3.ColunaPadrão" hidden="1">CÁLCULO!$AY:$AY</definedName>
    <definedName name="CÁLCULO.MATRIZ3.firstcol" hidden="1">CÁLCULO!$AW:$AW</definedName>
    <definedName name="CÁLCULO.MATRIZ3.lastcol" hidden="1">CÁLCULO!$BH:$BH</definedName>
    <definedName name="CÁLCULO.MATRIZ3.lastrow" hidden="1">CÁLCULO!$32:$32</definedName>
    <definedName name="CÁLCULO.NúmeroDeEventos" hidden="1">IF(AUTOEVENTO&lt;&gt;"manual",MAX(CÁLCULO!$M$15:$M$32),MAX(OFFSET(EVENTOS!$C$14:$C$20,1,0)))</definedName>
    <definedName name="CÁLCULO.NúmeroDeFrentes" hidden="1">COLUMN(CÁLCULO!$AA$15)-COLUMN(CÁLCULO!$Q$15)</definedName>
    <definedName name="CÁLCULO.TotalAdmLocal" hidden="1">IF(AUTOEVENTO="manual",SUMIF(CÁLCULO!$M$15:$M$32,1,ORÇAMENTO!$X$15:$X$32),0)</definedName>
    <definedName name="CRONO.ColunaPadrão" hidden="1">CRONO!$D:$D</definedName>
    <definedName name="CRONO.Filtro" hidden="1">CRONO!$F$13:$F$48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CRONO!$43:$43</definedName>
    <definedName name="CRONO.LinhaPadrão" hidden="1">CRONO!$1:$3</definedName>
    <definedName name="CRONO.LinhasNecessarias" hidden="1">COUNTIF(QCI!$B$13:$B$15,"Manual")+COUNTIF(QCI!$B$13:$B$15,"SemiAuto")+COUNT(ORÇAMENTO.ListaCrono)</definedName>
    <definedName name="CRONO.margemrow" hidden="1">CRONO!$48:$48</definedName>
    <definedName name="CRONO.MaxParc" hidden="1">CRONO!#REF!+CRONO!A1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CRONOPLE!$20:$20</definedName>
    <definedName name="CRONOPLE.LinhaPadrão" hidden="1">CRONOPLE!$1:$1</definedName>
    <definedName name="CRONOPLE.margemrow" hidden="1">CRONOPLE!$21:$21</definedName>
    <definedName name="CRONOPLE.ValorDoEvento" hidden="1">SUMIF(CÁLCULO!$M$15:$M$32,CRONOPLE!$B1,OFFSET(CÁLCULO!$AA$15:$AA$32,0,CRONOPLE!A$12))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EVENTOS!$20:$20</definedName>
    <definedName name="EVENTOS.LinhaPadrão" hidden="1">EVENTOS!$14:$14</definedName>
    <definedName name="EVENTOS.Lista" hidden="1">EVENTOS!$C$15:OFFSET(EVENTOS!$C$20,-1,0)</definedName>
    <definedName name="EVENTOS.ListaValidacao" hidden="1">EVENTOS!$B$15:OFFSET(EVENTOS!$B$20,-1,0)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BM!$D$35</definedName>
    <definedName name="Import.BMAFAcumulado" hidden="1">OFFSET(BM!$R$15,1,0):OFFSET(BM!$R$32,-1,0)</definedName>
    <definedName name="Import.BMArred" hidden="1">BM!$A$9</definedName>
    <definedName name="Import.CNPJ" hidden="1">DADOS!$F$38</definedName>
    <definedName name="Import.Código" hidden="1">OFFSET(ORÇAMENTO!$Q$15,1,0):OFFSET(ORÇAMENTO!$Q$32,-1,0)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OFFSET(CRONOPLE!$F$15,1,1):OFFSET(CRONOPLE!$AF$20,-1,-1)</definedName>
    <definedName name="Import.CTEF" hidden="1">DADOS!$F$36</definedName>
    <definedName name="Import.CustoUnitário" hidden="1">OFFSET(ORÇAMENTO!$U$15,1,0):OFFSET(ORÇAMENTO!$U$32,-1,0)</definedName>
    <definedName name="Import.DataBase" hidden="1">OFFSET(DADOS!$G$19,0,-1)</definedName>
    <definedName name="Import.DataBaseLicit" hidden="1">OFFSET(DADOS!$G$40,0,-1)</definedName>
    <definedName name="Import.DataEmissaoLicit" hidden="1">DADOS!$F$35</definedName>
    <definedName name="Import.DataInicioObra" hidden="1">DADOS!$F$46</definedName>
    <definedName name="Import.DescLote" hidden="1">DADOS!$F$17</definedName>
    <definedName name="Import.Descrição" hidden="1">OFFSET(ORÇAMENTO!$R$15,1,0):OFFSET(ORÇAMENTO!$R$32,-1,0)</definedName>
    <definedName name="Import.Desoneracao" hidden="1">OFFSET(DADOS!$G$18,0,-1)</definedName>
    <definedName name="Import.empresa" hidden="1">DADOS!$F$37</definedName>
    <definedName name="Import.Eventos.Nível" hidden="1">EVENTOS!$C$6</definedName>
    <definedName name="Import.Eventos.Nomes" hidden="1">OFFSET(EVENTOS!$D$15,1,0):OFFSET(EVENTOS!$D$20,-1,0)</definedName>
    <definedName name="Import.Fonte" hidden="1">OFFSET(ORÇAMENTO!$P$15,1,0):OFFSET(ORÇAMENTO!$P$32,-1,0)</definedName>
    <definedName name="Import.FrenteDeObra" hidden="1">CÁLCULO!$Q$12:OFFSET(CÁLCULO!$AA$12,0,-1)</definedName>
    <definedName name="Import.Município" hidden="1">DADOS!$F$6</definedName>
    <definedName name="Import.Nível" hidden="1">OFFSET(ORÇAMENTO!$M$15,1,0):OFFSET(ORÇAMENTO!$M$32,-1,0)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OFFSET(ORÇAMENTO!$V$15,1,0):OFFSET(ORÇAMENTO!$V$32,-1,0)</definedName>
    <definedName name="Import.ORÇAMENTO.DivRecurso" hidden="1">OFFSET(ORÇAMENTO!$Y$15,1,0):OFFSET(ORÇAMENTO!$Y$32,-1,0)</definedName>
    <definedName name="Import.ORÇAMENTO.Obs" hidden="1">ORÇAMENTO!$O$38</definedName>
    <definedName name="Import.PLE" hidden="1">OFFSET(PLE!$G$15,1,1):OFFSET(PLE!$AG$20,-1,-1)</definedName>
    <definedName name="Import.PLE.Datas" hidden="1">PLE!$I$23:$AF$23</definedName>
    <definedName name="Import.PLQ" hidden="1">OFFSET(CÁLCULO!$P$15,1,1):OFFSET(CÁLCULO!$AA$32,-1,-1)</definedName>
    <definedName name="Import.PLQ.MemCalc" hidden="1">OFFSET(CÁLCULO!$I$15,1,0):OFFSET(CÁLCULO!$I$32,-1,0)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OFFSET(QCI!$V$13,1,0):OFFSET(QCI!$V$15,-1,0)</definedName>
    <definedName name="Import.QCI.ItemInv" hidden="1">OFFSET(QCI!$E$13,1,0):OFFSET(QCI!$E$15,-1,0)</definedName>
    <definedName name="Import.QCI.Obs" hidden="1">QCI!$D$19</definedName>
    <definedName name="Import.QCI.Qtde" hidden="1">OFFSET(QCI!$I$13,1,0):OFFSET(QCI!$I$15,-1,0)</definedName>
    <definedName name="Import.QCI.Situacao" hidden="1">OFFSET(QCI!$H$13,1,0):OFFSET(QCI!$H$15,-1,0)</definedName>
    <definedName name="Import.QCI.SubItemInv" hidden="1">OFFSET(QCI!$F$13,1,0):OFFSET(QCI!$F$15,-1,0)</definedName>
    <definedName name="Import.QCICP" hidden="1">OFFSET(QCI!$W$13,1,0):OFFSET(QCI!$W$15,-1,0)</definedName>
    <definedName name="Import.QCIDesc" hidden="1">OFFSET(QCI!$R$13,1,0):OFFSET(QCI!$R$15,-1,0)</definedName>
    <definedName name="Import.QCIInv" hidden="1">OFFSET(QCI!$U$13,1,0):OFFSET(QCI!$U$15,-1,0)</definedName>
    <definedName name="Import.QCILote" hidden="1">OFFSET(QCI!$T$13,1,0):OFFSET(QCI!$T$15,-1,0)</definedName>
    <definedName name="Import.QCIOutros" hidden="1">OFFSET(QCI!$X$13,1,0):OFFSET(QCI!$X$15,-1,0)</definedName>
    <definedName name="Import.Quantidade" hidden="1">OFFSET(ORÇAMENTO!$AJ$15,1,0):OFFSET(ORÇAMENTO!$AJ$32,-1,0)</definedName>
    <definedName name="import.recurso" hidden="1">DADOS!$F$4</definedName>
    <definedName name="Import.RegimeExecução" hidden="1">OFFSET(DADOS!$G$39,0,-1)</definedName>
    <definedName name="Import.Repasse" hidden="1">DADOS!$F$9</definedName>
    <definedName name="Import.RespFiscalização" hidden="1">DADOS!$F$50:$F$53</definedName>
    <definedName name="Import.RespOrçamento" hidden="1">DADOS!$F$22:$F$24</definedName>
    <definedName name="Import.RRE.Financeiro" hidden="1">RRE!$M$38:$O$40</definedName>
    <definedName name="Import.RRE.Obs" hidden="1">RRE!$E$22</definedName>
    <definedName name="Import.RRE.Social" hidden="1">RRE!$F$38:$G$40</definedName>
    <definedName name="Import.SICONV" hidden="1">DADOS!$F$8</definedName>
    <definedName name="Import.Unidade" hidden="1">OFFSET(ORÇAMENTO!$S$15,1,0):OFFSET(ORÇAMENTO!$S$32,-1,0)</definedName>
    <definedName name="Import.UnitarioLicitado" hidden="1">OFFSET(ORÇAMENTO!$AL$15,1,0):OFFSET(ORÇAMENTO!$AL$32,-1,0)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ORÇAMENTO!$L$15:$L$32</definedName>
    <definedName name="ORÇAMENTO.firstrow" hidden="1">ORÇAMENTO!$15:$15</definedName>
    <definedName name="ORÇAMENTO.Fonte" hidden="1">ORÇAMENTO!$P1</definedName>
    <definedName name="ORÇAMENTO.lastrow" hidden="1">ORÇAMENTO!$32:$32</definedName>
    <definedName name="ORÇAMENTO.LinhaPadrão" hidden="1">ORÇAMENTO!$14:$14</definedName>
    <definedName name="ORÇAMENTO.ListaCrono" hidden="1">OFFSET(ORÇAMENTO!$AD$15,1,0):OFFSET(ORÇAMENTO!$AD$32,-1,0)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OFFSET(ORÇAMENTO!$P$15,1,0):OFFSET(ORÇAMENTO!$S$32,-1,0)</definedName>
    <definedName name="ORÇAMENTO.PasteFormat2" hidden="1">OFFSET(ORÇAMENTO!$U$15,1,0):OFFSET(ORÇAMENTO!$V$32,-1,0)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OFFSET(ORÇAMENTO!$T$15,1,0):OFFSET(ORÇAMENTO!$T$32,-1,0)</definedName>
    <definedName name="ORÇAMENTO.SumCPMANUAL" hidden="1">SUMIF(ORÇAMENTO!$Z$15:$Z$32,"CP",ORÇAMENTO!$AA$15:$AA$32)</definedName>
    <definedName name="ORÇAMENTO.SumINVMANUAL" hidden="1">SUMIF(ORÇAMENTO!$Z$15:$Z$32,"RP",ORÇAMENTO!$X$15:$X$32)+SUMIF(ORÇAMENTO!$Z$15:$Z$32,"CP",ORÇAMENTO!$X$15:$X$32)+SUMIF(ORÇAMENTO!$Z$15:$Z$32,"OU",ORÇAMENTO!$X$15:$X$32)</definedName>
    <definedName name="ORÇAMENTO.SumOUTROSMANUAL" hidden="1">SUMIF(ORÇAMENTO!$Z$15:$Z$32,"OU",ORÇAMENTO!$AB$15:$AB$32)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PLE!$A$13:$A$34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PLE!$20:$20</definedName>
    <definedName name="PLE.LinhaPadrão" hidden="1">PLE!$1:$1</definedName>
    <definedName name="PLE.margemrow" hidden="1">PLE!$35:$35</definedName>
    <definedName name="PLE.Medicao" hidden="1">PLE!$J$9</definedName>
    <definedName name="PLE.MEDIÇÕES.firstrow" hidden="1">PLE!$21:$21</definedName>
    <definedName name="PLE.MEDIÇÕES.lastrow" hidden="1">PLE!$29:$29</definedName>
    <definedName name="PLE.MEDIÇÕES.LinhaPadrão" hidden="1">PLE!$21:$28</definedName>
    <definedName name="PLE.ValorDoEvento" hidden="1">SUMIF(CÁLCULO!$M$15:$M$32,PLE!$B1,OFFSET(CÁLCULO!$AA$15:$AA$32,0,PLE!A$12))</definedName>
    <definedName name="PO.ValoresBDI" hidden="1">OFFSET(ORÇAMENTO!$AH$15,1,0):OFFSET(ORÇAMENTO!$AH$32,-1,0)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(COUNTIF(QCI!$B$13:$B$15,"Manual")+COUNTIF(QCI!$B$13:$B$15,"SemiAuto"))&gt;0</definedName>
    <definedName name="QCI.Filtro" hidden="1">QCI!$C$13:$C$16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QCI!$15:$15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SUMIF(QCI!$B$13:$B$15,"Manual",QCI!$AA$13:$AA$15)</definedName>
    <definedName name="QCI.SumINVMANUAL" hidden="1">SUMIF(QCI!$B$13:$B$15,"Manual",QCI!$O$13:$O$15)</definedName>
    <definedName name="QCI.SumOUTROSMANUAL" hidden="1">SUMIF(QCI!$B$13:$B$15,"Manual",QCI!$AB$13:$AB$15)</definedName>
    <definedName name="QCI.SumREPASSEMANUAL" hidden="1">QCI.SumINVMANUAL-QCI.CPManual-QCI.OutrosManual</definedName>
    <definedName name="QCI.TotalCP" hidden="1">QCI!$M$15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RRE!$Y$17:$Z$18</definedName>
    <definedName name="RRE.Filtro" hidden="1">RRE!$D$13:$D$19</definedName>
    <definedName name="RRE.firstrow" hidden="1">RRE!$13:$13</definedName>
    <definedName name="RRE.lastrow" hidden="1">RRE!$15:$15</definedName>
    <definedName name="RRE.LinhaPadrão" hidden="1">RRE!$12:$12</definedName>
    <definedName name="RRE.MaxCPAcum" hidden="1">RRE!$AD$17</definedName>
    <definedName name="RRE.MaxCPAnt" hidden="1">RRE!$AC$17</definedName>
    <definedName name="RRE.MaxOUAcum" hidden="1">RRE!$AD$18</definedName>
    <definedName name="RRE.MaxOUAnt" hidden="1">RRE!$AC$18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11">BM!$1:$15</definedName>
    <definedName name="_xlnm.Print_Titles" localSheetId="9">PLE!$B:$E,PLE!$1:$13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IF(BM!$I1=0,0,CHOOSE(MATCH(RegimeExecucao,{"Global","Unitário"},0),ROUND(ROUND(BM!#REF!,15-13*BM!$A$9)/100*BM!$I1,15-13*ORÇAMENTO!$AF$11),ROUND(ROUND(BM!#REF!,15-13*BM!$A$9)*ROUND(BM!$H1,15-13*ORÇAMENTO!$AF$10),15-13*ORÇAMENTO!$AF$11)))</definedName>
    <definedName name="VTOTALMED" hidden="1">BM!$P$14</definedName>
  </definedNames>
  <calcPr calcId="162913"/>
</workbook>
</file>

<file path=xl/calcChain.xml><?xml version="1.0" encoding="utf-8"?>
<calcChain xmlns="http://schemas.openxmlformats.org/spreadsheetml/2006/main">
  <c r="R22" i="6" l="1"/>
  <c r="H28" i="12" l="1"/>
  <c r="G28" i="12"/>
  <c r="F28" i="12"/>
  <c r="A28" i="5"/>
  <c r="R25" i="6"/>
  <c r="R27" i="6" s="1"/>
  <c r="R26" i="6" l="1"/>
  <c r="R28" i="6" s="1"/>
  <c r="H31" i="12"/>
  <c r="G31" i="12"/>
  <c r="F31" i="12"/>
  <c r="A31" i="5"/>
  <c r="S26" i="6" l="1"/>
  <c r="Q20" i="6"/>
  <c r="S27" i="6" l="1"/>
  <c r="AJ20" i="5"/>
  <c r="H20" i="12" l="1"/>
  <c r="G20" i="12"/>
  <c r="F20" i="12"/>
  <c r="A20" i="5"/>
  <c r="H22" i="12"/>
  <c r="G22" i="12"/>
  <c r="F22" i="12"/>
  <c r="H21" i="12"/>
  <c r="G21" i="12"/>
  <c r="F21" i="12"/>
  <c r="A22" i="5"/>
  <c r="A21" i="5"/>
  <c r="H18" i="12"/>
  <c r="G18" i="12"/>
  <c r="F18" i="12"/>
  <c r="H17" i="12"/>
  <c r="G17" i="12"/>
  <c r="F17" i="12"/>
  <c r="A18" i="5"/>
  <c r="A17" i="5"/>
  <c r="H24" i="12" l="1"/>
  <c r="G24" i="12"/>
  <c r="F24" i="12"/>
  <c r="A24" i="5"/>
  <c r="H14" i="13"/>
  <c r="G14" i="13"/>
  <c r="D14" i="11"/>
  <c r="A14" i="11" s="1"/>
  <c r="H30" i="12"/>
  <c r="G30" i="12"/>
  <c r="F30" i="12"/>
  <c r="A30" i="5"/>
  <c r="H25" i="12"/>
  <c r="G25" i="12"/>
  <c r="F25" i="12"/>
  <c r="A25" i="5"/>
  <c r="C15" i="14"/>
  <c r="C18" i="14"/>
  <c r="C19" i="14"/>
  <c r="B22" i="14"/>
  <c r="B24" i="14"/>
  <c r="B30" i="14"/>
  <c r="B54" i="14"/>
  <c r="B55" i="14"/>
  <c r="F1" i="13"/>
  <c r="E4" i="13"/>
  <c r="I4" i="13"/>
  <c r="L4" i="13"/>
  <c r="P4" i="13"/>
  <c r="M6" i="13"/>
  <c r="E7" i="13"/>
  <c r="I7" i="13"/>
  <c r="M7" i="13"/>
  <c r="O7" i="13" s="1"/>
  <c r="N7" i="13"/>
  <c r="P7" i="13"/>
  <c r="B39" i="14" s="1"/>
  <c r="M11" i="13"/>
  <c r="Y11" i="13"/>
  <c r="G12" i="13"/>
  <c r="H12" i="13"/>
  <c r="J16" i="13"/>
  <c r="AC2" i="13" s="1"/>
  <c r="E26" i="13"/>
  <c r="E30" i="13"/>
  <c r="L30" i="13"/>
  <c r="F31" i="13"/>
  <c r="M31" i="13"/>
  <c r="E32" i="13"/>
  <c r="F32" i="13"/>
  <c r="L32" i="13"/>
  <c r="M32" i="13"/>
  <c r="M33" i="13"/>
  <c r="L34" i="13"/>
  <c r="M34" i="13"/>
  <c r="E37" i="13"/>
  <c r="L37" i="13"/>
  <c r="E39" i="13"/>
  <c r="L39" i="13"/>
  <c r="E40" i="13"/>
  <c r="L40" i="13"/>
  <c r="E1" i="12"/>
  <c r="E2" i="12"/>
  <c r="D5" i="12"/>
  <c r="F5" i="12"/>
  <c r="I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AB13" i="12"/>
  <c r="AC13" i="12" s="1"/>
  <c r="F14" i="12"/>
  <c r="G14" i="12"/>
  <c r="H14" i="12"/>
  <c r="D15" i="12"/>
  <c r="I15" i="12"/>
  <c r="M15" i="12"/>
  <c r="O15" i="12"/>
  <c r="AB15" i="12"/>
  <c r="E16" i="12"/>
  <c r="F16" i="12"/>
  <c r="G16" i="12"/>
  <c r="H16" i="12"/>
  <c r="E19" i="12"/>
  <c r="F19" i="12"/>
  <c r="G19" i="12"/>
  <c r="H19" i="12"/>
  <c r="E23" i="12"/>
  <c r="F23" i="12"/>
  <c r="G23" i="12"/>
  <c r="H23" i="12"/>
  <c r="F26" i="12"/>
  <c r="G26" i="12"/>
  <c r="H26" i="12"/>
  <c r="F27" i="12"/>
  <c r="G27" i="12"/>
  <c r="H27" i="12"/>
  <c r="F29" i="12"/>
  <c r="G29" i="12"/>
  <c r="H29" i="12"/>
  <c r="D39" i="12"/>
  <c r="D41" i="12"/>
  <c r="E42" i="12"/>
  <c r="K44" i="12" a="1"/>
  <c r="K45" i="12" s="1"/>
  <c r="D4" i="11"/>
  <c r="F4" i="11"/>
  <c r="G4" i="11"/>
  <c r="J4" i="11"/>
  <c r="M6" i="11"/>
  <c r="D7" i="11"/>
  <c r="L7" i="11"/>
  <c r="M7" i="11"/>
  <c r="N7" i="11"/>
  <c r="Z7" i="11"/>
  <c r="D12" i="11"/>
  <c r="J12" i="11"/>
  <c r="I12" i="13" s="1"/>
  <c r="L13" i="11"/>
  <c r="L9" i="11" s="1"/>
  <c r="D24" i="11"/>
  <c r="I26" i="11"/>
  <c r="I27" i="11"/>
  <c r="B1" i="10"/>
  <c r="H4" i="10"/>
  <c r="V6" i="10"/>
  <c r="AE6" i="10"/>
  <c r="B7" i="10"/>
  <c r="D7" i="10"/>
  <c r="H7" i="10"/>
  <c r="O7" i="10"/>
  <c r="V7" i="10"/>
  <c r="AE7" i="10"/>
  <c r="C11" i="10"/>
  <c r="F12" i="10"/>
  <c r="F11" i="10" s="1"/>
  <c r="H12" i="10"/>
  <c r="H11" i="10" s="1"/>
  <c r="B16" i="10"/>
  <c r="B17" i="10" s="1"/>
  <c r="B18" i="10" s="1"/>
  <c r="I24" i="10"/>
  <c r="N9" i="10" s="1"/>
  <c r="B30" i="10"/>
  <c r="W32" i="10" a="1"/>
  <c r="W35" i="10" s="1"/>
  <c r="B1" i="9"/>
  <c r="E12" i="9"/>
  <c r="E11" i="9" s="1"/>
  <c r="G12" i="9"/>
  <c r="B16" i="9"/>
  <c r="B17" i="9" s="1"/>
  <c r="A1" i="8"/>
  <c r="R4" i="8"/>
  <c r="R5" i="8"/>
  <c r="Y7" i="8"/>
  <c r="AE7" i="8"/>
  <c r="H8" i="8"/>
  <c r="J8" i="8"/>
  <c r="K8" i="8"/>
  <c r="T8" i="8"/>
  <c r="Y8" i="8"/>
  <c r="AE8" i="8"/>
  <c r="D12" i="8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14" i="8"/>
  <c r="A17" i="8" s="1"/>
  <c r="A20" i="8" s="1"/>
  <c r="A23" i="8" s="1"/>
  <c r="A26" i="8" s="1"/>
  <c r="A29" i="8" s="1"/>
  <c r="S34" i="8"/>
  <c r="S39" i="8"/>
  <c r="H44" i="8"/>
  <c r="Z46" i="8" a="1"/>
  <c r="Z47" i="8" s="1"/>
  <c r="C9" i="7"/>
  <c r="C14" i="7"/>
  <c r="B14" i="7" s="1"/>
  <c r="B15" i="7"/>
  <c r="C16" i="7"/>
  <c r="B16" i="7" s="1"/>
  <c r="F1" i="6"/>
  <c r="F2" i="6"/>
  <c r="E5" i="6"/>
  <c r="G5" i="6"/>
  <c r="I5" i="6"/>
  <c r="K5" i="6"/>
  <c r="S5" i="6"/>
  <c r="U5" i="6"/>
  <c r="A12" i="6"/>
  <c r="O13" i="6"/>
  <c r="O15" i="6" s="1"/>
  <c r="Q13" i="6"/>
  <c r="R13" i="6" s="1"/>
  <c r="S13" i="6" s="1"/>
  <c r="T13" i="6" s="1"/>
  <c r="U13" i="6" s="1"/>
  <c r="V13" i="6" s="1"/>
  <c r="W13" i="6" s="1"/>
  <c r="X13" i="6" s="1"/>
  <c r="Y13" i="6" s="1"/>
  <c r="Z13" i="6" s="1"/>
  <c r="AB13" i="6"/>
  <c r="AB12" i="6" s="1"/>
  <c r="AM13" i="6"/>
  <c r="AN13" i="6" s="1"/>
  <c r="AN12" i="6" s="1"/>
  <c r="AX13" i="6"/>
  <c r="AY13" i="6" s="1"/>
  <c r="B15" i="6"/>
  <c r="C15" i="6"/>
  <c r="D15" i="6"/>
  <c r="E15" i="6"/>
  <c r="AM15" i="6"/>
  <c r="AN15" i="6"/>
  <c r="AO15" i="6"/>
  <c r="AP15" i="6"/>
  <c r="AQ15" i="6"/>
  <c r="AR15" i="6"/>
  <c r="AS15" i="6"/>
  <c r="AT15" i="6"/>
  <c r="AU15" i="6"/>
  <c r="AV15" i="6"/>
  <c r="AX15" i="6"/>
  <c r="AY15" i="6"/>
  <c r="AZ15" i="6"/>
  <c r="BA15" i="6"/>
  <c r="BB15" i="6"/>
  <c r="BC15" i="6"/>
  <c r="BD15" i="6"/>
  <c r="BE15" i="6"/>
  <c r="BF15" i="6"/>
  <c r="BG15" i="6"/>
  <c r="F16" i="6"/>
  <c r="F19" i="6"/>
  <c r="F23" i="6"/>
  <c r="B32" i="6"/>
  <c r="C32" i="6"/>
  <c r="F36" i="6"/>
  <c r="I38" i="6" a="1"/>
  <c r="I38" i="6" s="1"/>
  <c r="T38" i="6" a="1"/>
  <c r="T38" i="6" s="1"/>
  <c r="R2" i="5"/>
  <c r="O5" i="5"/>
  <c r="Q5" i="5"/>
  <c r="R5" i="5"/>
  <c r="S5" i="5"/>
  <c r="R7" i="5"/>
  <c r="S7" i="5"/>
  <c r="V7" i="5"/>
  <c r="W7" i="5"/>
  <c r="X7" i="5"/>
  <c r="F8" i="5"/>
  <c r="Q8" i="5"/>
  <c r="R8" i="5"/>
  <c r="S8" i="5"/>
  <c r="F9" i="5"/>
  <c r="U13" i="5"/>
  <c r="V13" i="5"/>
  <c r="AH13" i="5"/>
  <c r="A14" i="5"/>
  <c r="C14" i="5" s="1"/>
  <c r="E14" i="5" s="1"/>
  <c r="M15" i="5"/>
  <c r="N15" i="5"/>
  <c r="O15" i="5"/>
  <c r="A16" i="5"/>
  <c r="C16" i="5"/>
  <c r="A19" i="5"/>
  <c r="A23" i="5"/>
  <c r="A26" i="5"/>
  <c r="A27" i="5"/>
  <c r="A29" i="5"/>
  <c r="O42" i="5"/>
  <c r="O45" i="5"/>
  <c r="T47" i="5" a="1"/>
  <c r="T49" i="5" s="1"/>
  <c r="O1" i="4"/>
  <c r="C2" i="4"/>
  <c r="A3" i="4"/>
  <c r="A4" i="4" s="1"/>
  <c r="A5" i="4" s="1"/>
  <c r="J5" i="4"/>
  <c r="L5" i="4"/>
  <c r="N5" i="4"/>
  <c r="C8" i="4"/>
  <c r="J8" i="4"/>
  <c r="C9" i="4"/>
  <c r="C10" i="4"/>
  <c r="C11" i="4"/>
  <c r="C12" i="4"/>
  <c r="C13" i="4"/>
  <c r="C14" i="4"/>
  <c r="A15" i="4"/>
  <c r="C15" i="4" s="1"/>
  <c r="C20" i="4"/>
  <c r="A21" i="4"/>
  <c r="C21" i="4" s="1"/>
  <c r="J21" i="4"/>
  <c r="R21" i="4"/>
  <c r="J22" i="4"/>
  <c r="R22" i="4"/>
  <c r="J23" i="4"/>
  <c r="R23" i="4"/>
  <c r="J24" i="4"/>
  <c r="R24" i="4"/>
  <c r="J25" i="4"/>
  <c r="R25" i="4"/>
  <c r="C26" i="4"/>
  <c r="A27" i="4"/>
  <c r="C27" i="4" s="1"/>
  <c r="S27" i="4"/>
  <c r="S29" i="4" s="1"/>
  <c r="S28" i="4"/>
  <c r="C32" i="4"/>
  <c r="A33" i="4"/>
  <c r="A34" i="4" s="1"/>
  <c r="N35" i="4"/>
  <c r="C38" i="4"/>
  <c r="J38" i="4"/>
  <c r="C39" i="4"/>
  <c r="C40" i="4"/>
  <c r="J40" i="4"/>
  <c r="C41" i="4"/>
  <c r="C42" i="4"/>
  <c r="C43" i="4"/>
  <c r="C44" i="4"/>
  <c r="A45" i="4"/>
  <c r="C45" i="4" s="1"/>
  <c r="J45" i="4"/>
  <c r="K50" i="4" a="1"/>
  <c r="K51" i="4" s="1"/>
  <c r="J61" i="4"/>
  <c r="R61" i="4"/>
  <c r="J62" i="4"/>
  <c r="R62" i="4"/>
  <c r="J63" i="4"/>
  <c r="R63" i="4"/>
  <c r="J64" i="4"/>
  <c r="R64" i="4"/>
  <c r="J65" i="4"/>
  <c r="R65" i="4"/>
  <c r="S67" i="4"/>
  <c r="S69" i="4" s="1"/>
  <c r="I63" i="4" s="1"/>
  <c r="S68" i="4"/>
  <c r="N75" i="4"/>
  <c r="J78" i="4"/>
  <c r="J80" i="4"/>
  <c r="J85" i="4"/>
  <c r="K90" i="4" a="1"/>
  <c r="K90" i="4" s="1"/>
  <c r="J101" i="4"/>
  <c r="R101" i="4"/>
  <c r="J102" i="4"/>
  <c r="R102" i="4"/>
  <c r="J103" i="4"/>
  <c r="R103" i="4"/>
  <c r="J104" i="4"/>
  <c r="R104" i="4"/>
  <c r="J105" i="4"/>
  <c r="R105" i="4"/>
  <c r="S107" i="4"/>
  <c r="S109" i="4" s="1"/>
  <c r="S108" i="4"/>
  <c r="N115" i="4"/>
  <c r="J118" i="4"/>
  <c r="J120" i="4"/>
  <c r="J125" i="4"/>
  <c r="K130" i="4" a="1"/>
  <c r="K130" i="4" s="1"/>
  <c r="C8" i="3"/>
  <c r="C9" i="3"/>
  <c r="C12" i="3"/>
  <c r="C14" i="3"/>
  <c r="C15" i="3"/>
  <c r="C19" i="3"/>
  <c r="C20" i="3"/>
  <c r="C22" i="3"/>
  <c r="C24" i="3"/>
  <c r="C26" i="3"/>
  <c r="C28" i="3"/>
  <c r="C32" i="3"/>
  <c r="C34" i="3"/>
  <c r="C39" i="3"/>
  <c r="C41" i="3"/>
  <c r="C43" i="3"/>
  <c r="C47" i="3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F25" i="2"/>
  <c r="P125" i="4" s="1"/>
  <c r="F47" i="2"/>
  <c r="B33" i="10" s="1"/>
  <c r="E2" i="15"/>
  <c r="B8" i="15"/>
  <c r="C10" i="15"/>
  <c r="E10" i="15"/>
  <c r="G10" i="15"/>
  <c r="C12" i="15"/>
  <c r="E12" i="15"/>
  <c r="C14" i="15"/>
  <c r="B16" i="15"/>
  <c r="C18" i="15"/>
  <c r="E18" i="15"/>
  <c r="G18" i="15"/>
  <c r="B20" i="15"/>
  <c r="C22" i="15"/>
  <c r="E22" i="15"/>
  <c r="G22" i="15"/>
  <c r="E24" i="15"/>
  <c r="A46" i="4"/>
  <c r="C46" i="4" s="1"/>
  <c r="E29" i="12"/>
  <c r="F29" i="6"/>
  <c r="E12" i="13"/>
  <c r="A12" i="11"/>
  <c r="F24" i="6"/>
  <c r="E24" i="12"/>
  <c r="O8" i="5"/>
  <c r="J14" i="11" l="1"/>
  <c r="I14" i="13" s="1"/>
  <c r="K91" i="4"/>
  <c r="C3" i="4"/>
  <c r="A28" i="4"/>
  <c r="C28" i="4" s="1"/>
  <c r="C33" i="4"/>
  <c r="K24" i="10"/>
  <c r="M24" i="10" s="1"/>
  <c r="O24" i="10" s="1"/>
  <c r="Q24" i="10" s="1"/>
  <c r="S24" i="10" s="1"/>
  <c r="U24" i="10" s="1"/>
  <c r="W24" i="10" s="1"/>
  <c r="Y24" i="10" s="1"/>
  <c r="AA24" i="10" s="1"/>
  <c r="AC24" i="10" s="1"/>
  <c r="AE24" i="10" s="1"/>
  <c r="A16" i="4"/>
  <c r="C16" i="4" s="1"/>
  <c r="A47" i="4"/>
  <c r="C47" i="4" s="1"/>
  <c r="W33" i="10"/>
  <c r="O7" i="11"/>
  <c r="N16" i="5"/>
  <c r="D16" i="6" s="1"/>
  <c r="BB16" i="6" s="1"/>
  <c r="C17" i="5"/>
  <c r="AO13" i="6"/>
  <c r="AP13" i="6" s="1"/>
  <c r="W32" i="10"/>
  <c r="W34" i="10"/>
  <c r="AC13" i="6"/>
  <c r="AD13" i="6" s="1"/>
  <c r="AD12" i="6" s="1"/>
  <c r="C4" i="4"/>
  <c r="N10" i="12"/>
  <c r="K52" i="4"/>
  <c r="T47" i="5"/>
  <c r="AM12" i="6"/>
  <c r="L15" i="12"/>
  <c r="C17" i="7"/>
  <c r="C18" i="7" s="1"/>
  <c r="E28" i="14"/>
  <c r="C14" i="14"/>
  <c r="B37" i="14"/>
  <c r="B42" i="14" s="1"/>
  <c r="T48" i="5"/>
  <c r="K47" i="12"/>
  <c r="K46" i="12"/>
  <c r="K44" i="12"/>
  <c r="AX12" i="6"/>
  <c r="D27" i="11"/>
  <c r="H47" i="8"/>
  <c r="P85" i="4"/>
  <c r="F16" i="5"/>
  <c r="A16" i="12"/>
  <c r="H16" i="5"/>
  <c r="O48" i="5"/>
  <c r="F39" i="6"/>
  <c r="T39" i="6"/>
  <c r="J14" i="5"/>
  <c r="B14" i="5"/>
  <c r="S110" i="4"/>
  <c r="A6" i="4"/>
  <c r="C5" i="4"/>
  <c r="C34" i="4"/>
  <c r="A35" i="4"/>
  <c r="K132" i="4"/>
  <c r="K92" i="4"/>
  <c r="I86" i="4"/>
  <c r="E14" i="13"/>
  <c r="H15" i="10"/>
  <c r="K50" i="4"/>
  <c r="K131" i="4"/>
  <c r="A22" i="4"/>
  <c r="G15" i="9"/>
  <c r="M15" i="6"/>
  <c r="F5" i="5"/>
  <c r="AH28" i="5" s="1"/>
  <c r="B16" i="6"/>
  <c r="W16" i="5"/>
  <c r="B14" i="6"/>
  <c r="AE16" i="5"/>
  <c r="I16" i="5"/>
  <c r="B16" i="5"/>
  <c r="G16" i="5"/>
  <c r="AD16" i="5"/>
  <c r="E16" i="5"/>
  <c r="B14" i="11" s="1"/>
  <c r="C14" i="13" s="1"/>
  <c r="K14" i="13" s="1"/>
  <c r="M8" i="12"/>
  <c r="A14" i="12"/>
  <c r="I12" i="10"/>
  <c r="J12" i="10" s="1"/>
  <c r="J11" i="10" s="1"/>
  <c r="AD14" i="5"/>
  <c r="K14" i="5"/>
  <c r="I73" i="4"/>
  <c r="I106" i="4"/>
  <c r="I132" i="4"/>
  <c r="I98" i="4"/>
  <c r="I118" i="4"/>
  <c r="I119" i="4"/>
  <c r="I120" i="4"/>
  <c r="I108" i="4"/>
  <c r="B18" i="9"/>
  <c r="S30" i="4"/>
  <c r="I59" i="4"/>
  <c r="I89" i="4"/>
  <c r="P45" i="4"/>
  <c r="I105" i="4"/>
  <c r="G5" i="5"/>
  <c r="W8" i="5" s="1"/>
  <c r="AE14" i="5"/>
  <c r="I99" i="4"/>
  <c r="I39" i="6"/>
  <c r="G14" i="5"/>
  <c r="N15" i="12"/>
  <c r="I131" i="4"/>
  <c r="D14" i="5"/>
  <c r="B14" i="12" s="1"/>
  <c r="I125" i="4"/>
  <c r="I94" i="4"/>
  <c r="N14" i="5"/>
  <c r="D14" i="6" s="1"/>
  <c r="F14" i="5"/>
  <c r="I95" i="4"/>
  <c r="H14" i="5"/>
  <c r="I97" i="4"/>
  <c r="S70" i="4"/>
  <c r="I40" i="6"/>
  <c r="Z48" i="8"/>
  <c r="Z46" i="8"/>
  <c r="AZ13" i="6"/>
  <c r="AY12" i="6"/>
  <c r="J15" i="12"/>
  <c r="I91" i="4"/>
  <c r="I58" i="4"/>
  <c r="I82" i="4"/>
  <c r="I68" i="4"/>
  <c r="I54" i="4"/>
  <c r="I60" i="4"/>
  <c r="I57" i="4"/>
  <c r="I92" i="4"/>
  <c r="I70" i="4"/>
  <c r="I65" i="4"/>
  <c r="I81" i="4"/>
  <c r="I61" i="4"/>
  <c r="I72" i="4"/>
  <c r="I69" i="4"/>
  <c r="I93" i="4"/>
  <c r="I67" i="4"/>
  <c r="I64" i="4"/>
  <c r="I62" i="4"/>
  <c r="I74" i="4"/>
  <c r="I87" i="4"/>
  <c r="I77" i="4"/>
  <c r="I90" i="4"/>
  <c r="I80" i="4"/>
  <c r="I66" i="4"/>
  <c r="I84" i="4"/>
  <c r="I79" i="4"/>
  <c r="I85" i="4"/>
  <c r="I88" i="4"/>
  <c r="I55" i="4"/>
  <c r="I76" i="4"/>
  <c r="I56" i="4"/>
  <c r="I83" i="4"/>
  <c r="I71" i="4"/>
  <c r="G11" i="9"/>
  <c r="H12" i="9"/>
  <c r="I78" i="4"/>
  <c r="I75" i="4"/>
  <c r="AD13" i="12"/>
  <c r="I127" i="4"/>
  <c r="I104" i="4"/>
  <c r="I129" i="4"/>
  <c r="I112" i="4"/>
  <c r="E45" i="12"/>
  <c r="I113" i="4"/>
  <c r="I103" i="4"/>
  <c r="I107" i="4"/>
  <c r="L26" i="13"/>
  <c r="I126" i="4"/>
  <c r="I123" i="4"/>
  <c r="T40" i="6"/>
  <c r="I117" i="4"/>
  <c r="I114" i="4"/>
  <c r="I109" i="4"/>
  <c r="I116" i="4"/>
  <c r="I124" i="4"/>
  <c r="I130" i="4"/>
  <c r="I111" i="4"/>
  <c r="I121" i="4"/>
  <c r="I110" i="4"/>
  <c r="I96" i="4"/>
  <c r="I102" i="4"/>
  <c r="I122" i="4"/>
  <c r="I128" i="4"/>
  <c r="I115" i="4"/>
  <c r="I101" i="4"/>
  <c r="I100" i="4"/>
  <c r="H5" i="5"/>
  <c r="X8" i="5" s="1"/>
  <c r="A29" i="4" l="1"/>
  <c r="AH31" i="5"/>
  <c r="A48" i="4"/>
  <c r="A17" i="4"/>
  <c r="C17" i="4" s="1"/>
  <c r="B19" i="10"/>
  <c r="B18" i="7"/>
  <c r="A14" i="6"/>
  <c r="N14" i="6" s="1"/>
  <c r="AH20" i="5"/>
  <c r="AH21" i="5"/>
  <c r="AN21" i="5" s="1"/>
  <c r="AH22" i="5"/>
  <c r="AO12" i="6"/>
  <c r="AO16" i="6"/>
  <c r="G16" i="6"/>
  <c r="AS16" i="6"/>
  <c r="AU16" i="6"/>
  <c r="AN16" i="6"/>
  <c r="AX16" i="6"/>
  <c r="AQ16" i="6"/>
  <c r="BA16" i="6"/>
  <c r="AT16" i="6"/>
  <c r="BE16" i="6"/>
  <c r="N16" i="6"/>
  <c r="AR16" i="6"/>
  <c r="AZ16" i="6"/>
  <c r="AV16" i="6"/>
  <c r="BG16" i="6"/>
  <c r="BD16" i="6"/>
  <c r="AP16" i="6"/>
  <c r="BC16" i="6"/>
  <c r="AH17" i="5"/>
  <c r="AN17" i="5" s="1"/>
  <c r="AH18" i="5"/>
  <c r="AD17" i="5"/>
  <c r="H17" i="5"/>
  <c r="W17" i="5"/>
  <c r="F17" i="5"/>
  <c r="A17" i="12"/>
  <c r="AE17" i="5"/>
  <c r="N17" i="5"/>
  <c r="E17" i="5"/>
  <c r="G17" i="5"/>
  <c r="B17" i="5"/>
  <c r="I17" i="5"/>
  <c r="B17" i="6"/>
  <c r="C18" i="5"/>
  <c r="AM16" i="6"/>
  <c r="BF16" i="6"/>
  <c r="AY16" i="6"/>
  <c r="M16" i="6"/>
  <c r="H16" i="6"/>
  <c r="T16" i="5" s="1"/>
  <c r="B17" i="7"/>
  <c r="AE13" i="6"/>
  <c r="AE12" i="6" s="1"/>
  <c r="K15" i="12"/>
  <c r="AC12" i="6"/>
  <c r="C29" i="4"/>
  <c r="A30" i="4"/>
  <c r="AH29" i="5"/>
  <c r="AH19" i="5"/>
  <c r="AN19" i="5" s="1"/>
  <c r="AH26" i="5"/>
  <c r="AH25" i="5"/>
  <c r="AH24" i="5"/>
  <c r="AN24" i="5" s="1"/>
  <c r="AH30" i="5"/>
  <c r="AH14" i="5"/>
  <c r="W14" i="5" s="1"/>
  <c r="AH27" i="5"/>
  <c r="V8" i="5"/>
  <c r="AH23" i="5"/>
  <c r="AH16" i="5"/>
  <c r="AN16" i="5" s="1"/>
  <c r="C22" i="4"/>
  <c r="A23" i="4"/>
  <c r="A36" i="4"/>
  <c r="C35" i="4"/>
  <c r="A49" i="4"/>
  <c r="C49" i="4" s="1"/>
  <c r="C48" i="4"/>
  <c r="A18" i="4"/>
  <c r="A7" i="4"/>
  <c r="C7" i="4" s="1"/>
  <c r="C6" i="4"/>
  <c r="K12" i="10"/>
  <c r="L12" i="10" s="1"/>
  <c r="G14" i="11"/>
  <c r="F14" i="13" s="1"/>
  <c r="A14" i="13"/>
  <c r="K14" i="11"/>
  <c r="J14" i="13" s="1"/>
  <c r="H14" i="6"/>
  <c r="T14" i="5" s="1"/>
  <c r="I11" i="10"/>
  <c r="AE13" i="12"/>
  <c r="AF13" i="12" s="1"/>
  <c r="AG13" i="12" s="1"/>
  <c r="AH13" i="12" s="1"/>
  <c r="AI13" i="12" s="1"/>
  <c r="AJ13" i="12" s="1"/>
  <c r="AK13" i="12" s="1"/>
  <c r="AL13" i="12" s="1"/>
  <c r="AM13" i="12" s="1"/>
  <c r="I12" i="9"/>
  <c r="H11" i="9"/>
  <c r="AZ12" i="6"/>
  <c r="BA13" i="6"/>
  <c r="I10" i="13"/>
  <c r="B8" i="14"/>
  <c r="AQ13" i="6"/>
  <c r="AP12" i="6"/>
  <c r="Z25" i="4" l="1"/>
  <c r="C19" i="7"/>
  <c r="B19" i="9"/>
  <c r="C19" i="10"/>
  <c r="M14" i="6"/>
  <c r="AP14" i="6" s="1"/>
  <c r="AF13" i="6"/>
  <c r="AG13" i="6" s="1"/>
  <c r="AD16" i="6"/>
  <c r="AB16" i="6"/>
  <c r="D17" i="6"/>
  <c r="E17" i="12"/>
  <c r="F17" i="6"/>
  <c r="AC16" i="6"/>
  <c r="J18" i="5"/>
  <c r="F18" i="5"/>
  <c r="B18" i="5"/>
  <c r="C19" i="5" s="1"/>
  <c r="K18" i="5"/>
  <c r="A18" i="12"/>
  <c r="AE18" i="5"/>
  <c r="N18" i="5"/>
  <c r="E18" i="5"/>
  <c r="D18" i="5"/>
  <c r="B18" i="12" s="1"/>
  <c r="B18" i="6"/>
  <c r="AD18" i="5"/>
  <c r="H18" i="5"/>
  <c r="G18" i="5"/>
  <c r="Y23" i="4"/>
  <c r="Z23" i="4"/>
  <c r="X21" i="4"/>
  <c r="C30" i="4"/>
  <c r="A31" i="4"/>
  <c r="C31" i="4" s="1"/>
  <c r="AN14" i="5"/>
  <c r="K11" i="10"/>
  <c r="J14" i="12"/>
  <c r="AE16" i="6"/>
  <c r="Z22" i="4"/>
  <c r="A19" i="4"/>
  <c r="C19" i="4" s="1"/>
  <c r="C18" i="4"/>
  <c r="Z29" i="4"/>
  <c r="X29" i="4"/>
  <c r="X25" i="4"/>
  <c r="Y22" i="4"/>
  <c r="X24" i="4"/>
  <c r="Y21" i="4"/>
  <c r="Z24" i="4"/>
  <c r="Y29" i="4"/>
  <c r="Y24" i="4"/>
  <c r="X22" i="4"/>
  <c r="X23" i="4"/>
  <c r="C36" i="4"/>
  <c r="A37" i="4"/>
  <c r="C37" i="4" s="1"/>
  <c r="Y25" i="4"/>
  <c r="A24" i="4"/>
  <c r="C23" i="4"/>
  <c r="Z21" i="4"/>
  <c r="L11" i="10"/>
  <c r="M12" i="10"/>
  <c r="J12" i="9"/>
  <c r="I11" i="9"/>
  <c r="BA12" i="6"/>
  <c r="BB13" i="6"/>
  <c r="AR13" i="6"/>
  <c r="AQ12" i="6"/>
  <c r="L14" i="12"/>
  <c r="X14" i="5"/>
  <c r="AO7" i="12"/>
  <c r="A28" i="6" l="1"/>
  <c r="A31" i="6"/>
  <c r="C19" i="9"/>
  <c r="AC14" i="6"/>
  <c r="AB14" i="6"/>
  <c r="AO14" i="6"/>
  <c r="AD14" i="6"/>
  <c r="AZ14" i="6"/>
  <c r="BA14" i="6"/>
  <c r="AY14" i="6"/>
  <c r="AN14" i="6"/>
  <c r="AQ14" i="6"/>
  <c r="AM14" i="6"/>
  <c r="AX14" i="6"/>
  <c r="AE14" i="6"/>
  <c r="A16" i="6"/>
  <c r="B19" i="7"/>
  <c r="AF12" i="6"/>
  <c r="AF16" i="6" s="1"/>
  <c r="F19" i="5"/>
  <c r="K17" i="5" s="1"/>
  <c r="H19" i="5"/>
  <c r="AE19" i="5"/>
  <c r="E19" i="5"/>
  <c r="N19" i="5"/>
  <c r="D19" i="6" s="1"/>
  <c r="I19" i="5"/>
  <c r="G19" i="5"/>
  <c r="A19" i="12"/>
  <c r="W19" i="5"/>
  <c r="B19" i="5"/>
  <c r="AD19" i="5"/>
  <c r="B19" i="6"/>
  <c r="J18" i="12"/>
  <c r="L18" i="12"/>
  <c r="D18" i="6"/>
  <c r="BG17" i="6"/>
  <c r="BC17" i="6"/>
  <c r="AY17" i="6"/>
  <c r="AT17" i="6"/>
  <c r="AP17" i="6"/>
  <c r="H17" i="6"/>
  <c r="T17" i="5" s="1"/>
  <c r="AQ17" i="6"/>
  <c r="BF17" i="6"/>
  <c r="BB17" i="6"/>
  <c r="AX17" i="6"/>
  <c r="AS17" i="6"/>
  <c r="AO17" i="6"/>
  <c r="G17" i="6"/>
  <c r="AZ17" i="6"/>
  <c r="AU17" i="6"/>
  <c r="AM17" i="6"/>
  <c r="BE17" i="6"/>
  <c r="BA17" i="6"/>
  <c r="AV17" i="6"/>
  <c r="AR17" i="6"/>
  <c r="AN17" i="6"/>
  <c r="N17" i="6"/>
  <c r="BD17" i="6"/>
  <c r="M17" i="6"/>
  <c r="K14" i="12"/>
  <c r="A25" i="4"/>
  <c r="C25" i="4" s="1"/>
  <c r="C24" i="4"/>
  <c r="U29" i="4"/>
  <c r="AH13" i="6"/>
  <c r="AG12" i="6"/>
  <c r="N12" i="10"/>
  <c r="M11" i="10"/>
  <c r="L14" i="5"/>
  <c r="Z14" i="5"/>
  <c r="I14" i="12"/>
  <c r="I14" i="5"/>
  <c r="AM14" i="5"/>
  <c r="AR12" i="6"/>
  <c r="AS13" i="6"/>
  <c r="AR14" i="6"/>
  <c r="BB12" i="6"/>
  <c r="BC13" i="6"/>
  <c r="BB14" i="6"/>
  <c r="J11" i="9"/>
  <c r="K12" i="9"/>
  <c r="A18" i="6" l="1"/>
  <c r="N18" i="6" s="1"/>
  <c r="A19" i="6"/>
  <c r="A17" i="6"/>
  <c r="X109" i="4"/>
  <c r="AF14" i="6"/>
  <c r="C20" i="5"/>
  <c r="AC17" i="6"/>
  <c r="AG17" i="6"/>
  <c r="AE17" i="6"/>
  <c r="AB17" i="6"/>
  <c r="H18" i="6"/>
  <c r="T18" i="5" s="1"/>
  <c r="K18" i="12"/>
  <c r="AF17" i="6"/>
  <c r="AD17" i="6"/>
  <c r="AX19" i="6"/>
  <c r="AU19" i="6"/>
  <c r="AR19" i="6"/>
  <c r="G19" i="6"/>
  <c r="AS19" i="6"/>
  <c r="BB19" i="6"/>
  <c r="AN19" i="6"/>
  <c r="H19" i="6"/>
  <c r="BF19" i="6"/>
  <c r="AV19" i="6"/>
  <c r="AT19" i="6"/>
  <c r="AM19" i="6"/>
  <c r="M19" i="6"/>
  <c r="BG19" i="6"/>
  <c r="BC19" i="6"/>
  <c r="AP19" i="6"/>
  <c r="BE19" i="6"/>
  <c r="AO19" i="6"/>
  <c r="BA19" i="6"/>
  <c r="N19" i="6"/>
  <c r="AY19" i="6"/>
  <c r="AQ19" i="6"/>
  <c r="BD19" i="6"/>
  <c r="AZ19" i="6"/>
  <c r="Y61" i="4"/>
  <c r="Y109" i="4"/>
  <c r="Y63" i="4"/>
  <c r="Y101" i="4"/>
  <c r="Z102" i="4"/>
  <c r="Z101" i="4"/>
  <c r="X61" i="4"/>
  <c r="Z109" i="4"/>
  <c r="Y64" i="4"/>
  <c r="Z105" i="4"/>
  <c r="Z103" i="4"/>
  <c r="Y105" i="4"/>
  <c r="Z69" i="4"/>
  <c r="X63" i="4"/>
  <c r="Y104" i="4"/>
  <c r="X104" i="4"/>
  <c r="Z62" i="4"/>
  <c r="Z64" i="4"/>
  <c r="X105" i="4"/>
  <c r="J32" i="4"/>
  <c r="K32" i="4"/>
  <c r="X69" i="4"/>
  <c r="Z104" i="4"/>
  <c r="X62" i="4"/>
  <c r="Y62" i="4"/>
  <c r="Y102" i="4"/>
  <c r="X102" i="4"/>
  <c r="Z63" i="4"/>
  <c r="Y103" i="4"/>
  <c r="Y69" i="4"/>
  <c r="Z61" i="4"/>
  <c r="X64" i="4"/>
  <c r="X101" i="4"/>
  <c r="Z65" i="4"/>
  <c r="X103" i="4"/>
  <c r="Y65" i="4"/>
  <c r="X65" i="4"/>
  <c r="O12" i="10"/>
  <c r="N11" i="10"/>
  <c r="AG16" i="6"/>
  <c r="AG14" i="6"/>
  <c r="AI13" i="6"/>
  <c r="AH12" i="6"/>
  <c r="AH17" i="6" s="1"/>
  <c r="O14" i="12"/>
  <c r="AO14" i="12"/>
  <c r="C14" i="12"/>
  <c r="M14" i="12"/>
  <c r="AA14" i="5"/>
  <c r="AB14" i="5"/>
  <c r="AT13" i="6"/>
  <c r="AS12" i="6"/>
  <c r="AS14" i="6"/>
  <c r="C14" i="6"/>
  <c r="O14" i="5"/>
  <c r="K11" i="9"/>
  <c r="L12" i="9"/>
  <c r="BC12" i="6"/>
  <c r="BD13" i="6"/>
  <c r="BC14" i="6"/>
  <c r="U109" i="4" l="1"/>
  <c r="M18" i="6"/>
  <c r="BA18" i="6" s="1"/>
  <c r="H20" i="5"/>
  <c r="F20" i="5"/>
  <c r="N20" i="5"/>
  <c r="D20" i="6" s="1"/>
  <c r="D20" i="5"/>
  <c r="B20" i="12" s="1"/>
  <c r="E20" i="5"/>
  <c r="B20" i="5"/>
  <c r="G20" i="5"/>
  <c r="AD20" i="5"/>
  <c r="AE20" i="5"/>
  <c r="J20" i="5"/>
  <c r="K20" i="5"/>
  <c r="B20" i="6"/>
  <c r="A20" i="12"/>
  <c r="J20" i="12" s="1"/>
  <c r="AG19" i="6"/>
  <c r="T19" i="5"/>
  <c r="AE19" i="6"/>
  <c r="AF19" i="6"/>
  <c r="AB19" i="6"/>
  <c r="AD19" i="6"/>
  <c r="AC19" i="6"/>
  <c r="J112" i="4"/>
  <c r="K112" i="4"/>
  <c r="U69" i="4"/>
  <c r="N14" i="12"/>
  <c r="AH16" i="6"/>
  <c r="AH19" i="6"/>
  <c r="AH14" i="6"/>
  <c r="O11" i="10"/>
  <c r="P12" i="10"/>
  <c r="AI12" i="6"/>
  <c r="AJ13" i="6"/>
  <c r="D14" i="12"/>
  <c r="E14" i="6"/>
  <c r="Y14" i="12"/>
  <c r="M12" i="9"/>
  <c r="L11" i="9"/>
  <c r="BD12" i="6"/>
  <c r="BE13" i="6"/>
  <c r="BD14" i="6"/>
  <c r="AU13" i="6"/>
  <c r="AT12" i="6"/>
  <c r="AT14" i="6"/>
  <c r="AF18" i="6" l="1"/>
  <c r="AU18" i="6"/>
  <c r="BC18" i="6"/>
  <c r="AM18" i="6"/>
  <c r="AP18" i="6"/>
  <c r="AG18" i="6"/>
  <c r="AO18" i="6"/>
  <c r="AQ18" i="6"/>
  <c r="AB18" i="6"/>
  <c r="AR18" i="6"/>
  <c r="BB18" i="6"/>
  <c r="AC18" i="6"/>
  <c r="AN18" i="6"/>
  <c r="AS18" i="6"/>
  <c r="AH18" i="6"/>
  <c r="AE18" i="6"/>
  <c r="BE18" i="6"/>
  <c r="AZ18" i="6"/>
  <c r="AY18" i="6"/>
  <c r="BD18" i="6"/>
  <c r="AT18" i="6"/>
  <c r="AD18" i="6"/>
  <c r="AX18" i="6"/>
  <c r="A20" i="6"/>
  <c r="N20" i="6" s="1"/>
  <c r="L20" i="12"/>
  <c r="K20" i="12" s="1"/>
  <c r="H20" i="6"/>
  <c r="T20" i="5" s="1"/>
  <c r="AI17" i="6"/>
  <c r="AI18" i="6"/>
  <c r="K72" i="4"/>
  <c r="J72" i="4"/>
  <c r="Q12" i="10"/>
  <c r="P11" i="10"/>
  <c r="AK13" i="6"/>
  <c r="AK12" i="6" s="1"/>
  <c r="AJ12" i="6"/>
  <c r="AI19" i="6"/>
  <c r="AI16" i="6"/>
  <c r="AI14" i="6"/>
  <c r="BF13" i="6"/>
  <c r="BE12" i="6"/>
  <c r="BE14" i="6"/>
  <c r="AV13" i="6"/>
  <c r="AU12" i="6"/>
  <c r="AU14" i="6"/>
  <c r="N12" i="9"/>
  <c r="M11" i="9"/>
  <c r="X14" i="12"/>
  <c r="W14" i="12"/>
  <c r="M20" i="6" l="1"/>
  <c r="BA20" i="6" s="1"/>
  <c r="AV18" i="6"/>
  <c r="BF18" i="6"/>
  <c r="AJ17" i="6"/>
  <c r="AJ18" i="6"/>
  <c r="AK17" i="6"/>
  <c r="AK18" i="6"/>
  <c r="AJ16" i="6"/>
  <c r="AJ19" i="6"/>
  <c r="AJ14" i="6"/>
  <c r="AK14" i="6"/>
  <c r="AK19" i="6"/>
  <c r="AK16" i="6"/>
  <c r="Q11" i="10"/>
  <c r="R12" i="10"/>
  <c r="O12" i="9"/>
  <c r="N11" i="9"/>
  <c r="U14" i="12"/>
  <c r="V14" i="12"/>
  <c r="T14" i="12"/>
  <c r="AV12" i="6"/>
  <c r="AV14" i="6"/>
  <c r="BF12" i="6"/>
  <c r="BG13" i="6"/>
  <c r="BF14" i="6"/>
  <c r="AZ20" i="6" l="1"/>
  <c r="AO20" i="6"/>
  <c r="AF20" i="6"/>
  <c r="AN20" i="6"/>
  <c r="AV20" i="6"/>
  <c r="AG20" i="6"/>
  <c r="AM20" i="6"/>
  <c r="BC20" i="6"/>
  <c r="AR20" i="6"/>
  <c r="BB20" i="6"/>
  <c r="BD20" i="6"/>
  <c r="AE20" i="6"/>
  <c r="AT20" i="6"/>
  <c r="AQ20" i="6"/>
  <c r="AK20" i="6"/>
  <c r="AH20" i="6"/>
  <c r="AJ20" i="6"/>
  <c r="AU20" i="6"/>
  <c r="AS20" i="6"/>
  <c r="AX20" i="6"/>
  <c r="AP20" i="6"/>
  <c r="BF20" i="6"/>
  <c r="AY20" i="6"/>
  <c r="BE20" i="6"/>
  <c r="AI20" i="6"/>
  <c r="BG20" i="6"/>
  <c r="C21" i="5"/>
  <c r="H21" i="5" s="1"/>
  <c r="BG18" i="6"/>
  <c r="R11" i="10"/>
  <c r="S12" i="10"/>
  <c r="BG12" i="6"/>
  <c r="BG14" i="6"/>
  <c r="O11" i="9"/>
  <c r="P12" i="9"/>
  <c r="G21" i="5" l="1"/>
  <c r="AD21" i="5"/>
  <c r="AE21" i="5"/>
  <c r="A21" i="12"/>
  <c r="B21" i="6"/>
  <c r="A21" i="6" s="1"/>
  <c r="C22" i="5"/>
  <c r="W21" i="5"/>
  <c r="N21" i="5"/>
  <c r="D21" i="6" s="1"/>
  <c r="AT21" i="6" s="1"/>
  <c r="B21" i="5"/>
  <c r="F21" i="5"/>
  <c r="E21" i="5"/>
  <c r="T12" i="10"/>
  <c r="S11" i="10"/>
  <c r="Q12" i="9"/>
  <c r="P11" i="9"/>
  <c r="BC21" i="6" l="1"/>
  <c r="AV21" i="6"/>
  <c r="BD21" i="6"/>
  <c r="BA21" i="6"/>
  <c r="AX21" i="6"/>
  <c r="BE21" i="6"/>
  <c r="BF21" i="6"/>
  <c r="AQ21" i="6"/>
  <c r="AY21" i="6"/>
  <c r="AN21" i="6"/>
  <c r="AM21" i="6"/>
  <c r="BB21" i="6"/>
  <c r="N21" i="6"/>
  <c r="AR21" i="6"/>
  <c r="M21" i="6"/>
  <c r="BG21" i="6" s="1"/>
  <c r="AZ21" i="6"/>
  <c r="AO21" i="6"/>
  <c r="H21" i="6"/>
  <c r="F22" i="5"/>
  <c r="AE22" i="5"/>
  <c r="AD22" i="5"/>
  <c r="B22" i="5"/>
  <c r="N22" i="5"/>
  <c r="D22" i="6" s="1"/>
  <c r="H22" i="5"/>
  <c r="G22" i="5"/>
  <c r="E22" i="5"/>
  <c r="D22" i="5"/>
  <c r="B22" i="12" s="1"/>
  <c r="J22" i="5"/>
  <c r="A22" i="12"/>
  <c r="B22" i="6"/>
  <c r="K22" i="5"/>
  <c r="AU21" i="6"/>
  <c r="AS21" i="6"/>
  <c r="AP21" i="6"/>
  <c r="T11" i="10"/>
  <c r="U12" i="10"/>
  <c r="R12" i="9"/>
  <c r="Q11" i="9"/>
  <c r="C23" i="5" l="1"/>
  <c r="N23" i="5" s="1"/>
  <c r="D23" i="6" s="1"/>
  <c r="N23" i="6" s="1"/>
  <c r="A22" i="6"/>
  <c r="M22" i="6" s="1"/>
  <c r="BD22" i="6" s="1"/>
  <c r="AB21" i="6"/>
  <c r="T21" i="5"/>
  <c r="AG21" i="6"/>
  <c r="AF21" i="6"/>
  <c r="AI21" i="6"/>
  <c r="AC21" i="6"/>
  <c r="AD21" i="6"/>
  <c r="AE21" i="6"/>
  <c r="AK21" i="6"/>
  <c r="AJ21" i="6"/>
  <c r="AH21" i="6"/>
  <c r="H22" i="6"/>
  <c r="J22" i="12"/>
  <c r="L22" i="12"/>
  <c r="U11" i="10"/>
  <c r="V12" i="10"/>
  <c r="R11" i="9"/>
  <c r="S12" i="9"/>
  <c r="W23" i="5" l="1"/>
  <c r="B23" i="6"/>
  <c r="A23" i="6" s="1"/>
  <c r="AD23" i="5"/>
  <c r="H23" i="5"/>
  <c r="AE23" i="5"/>
  <c r="E23" i="5"/>
  <c r="A23" i="12"/>
  <c r="I23" i="5"/>
  <c r="G23" i="5"/>
  <c r="B23" i="5"/>
  <c r="F23" i="5"/>
  <c r="K19" i="5" s="1"/>
  <c r="AM23" i="6"/>
  <c r="BG23" i="6"/>
  <c r="BC23" i="6"/>
  <c r="AO23" i="6"/>
  <c r="M23" i="6"/>
  <c r="AX23" i="6"/>
  <c r="AQ23" i="6"/>
  <c r="BF23" i="6"/>
  <c r="BD23" i="6"/>
  <c r="G23" i="6"/>
  <c r="AP23" i="6"/>
  <c r="AV23" i="6"/>
  <c r="AN23" i="6"/>
  <c r="AY23" i="6"/>
  <c r="AZ23" i="6"/>
  <c r="AS23" i="6"/>
  <c r="AR23" i="6"/>
  <c r="BB23" i="6"/>
  <c r="H23" i="6"/>
  <c r="AT23" i="6"/>
  <c r="BE23" i="6"/>
  <c r="BA23" i="6"/>
  <c r="AU23" i="6"/>
  <c r="AU22" i="6"/>
  <c r="AZ22" i="6"/>
  <c r="AX22" i="6"/>
  <c r="AG22" i="6"/>
  <c r="AO22" i="6"/>
  <c r="AK22" i="6"/>
  <c r="AS22" i="6"/>
  <c r="AJ22" i="6"/>
  <c r="BF22" i="6"/>
  <c r="AN22" i="6"/>
  <c r="AT22" i="6"/>
  <c r="BG22" i="6"/>
  <c r="AV22" i="6"/>
  <c r="AR22" i="6"/>
  <c r="K22" i="12"/>
  <c r="BE22" i="6"/>
  <c r="AP22" i="6"/>
  <c r="T22" i="5"/>
  <c r="AE22" i="6"/>
  <c r="AH22" i="6"/>
  <c r="BC22" i="6"/>
  <c r="AM22" i="6"/>
  <c r="AY22" i="6"/>
  <c r="BA22" i="6"/>
  <c r="BB22" i="6"/>
  <c r="AQ22" i="6"/>
  <c r="AI22" i="6"/>
  <c r="AF22" i="6"/>
  <c r="W12" i="10"/>
  <c r="V11" i="10"/>
  <c r="S11" i="9"/>
  <c r="T12" i="9"/>
  <c r="AE23" i="6" l="1"/>
  <c r="AG23" i="6"/>
  <c r="AK23" i="6"/>
  <c r="T23" i="5"/>
  <c r="AF23" i="6"/>
  <c r="AI23" i="6"/>
  <c r="AH23" i="6"/>
  <c r="AB23" i="6"/>
  <c r="AD23" i="6"/>
  <c r="AC23" i="6"/>
  <c r="AJ23" i="6"/>
  <c r="W11" i="10"/>
  <c r="X12" i="10"/>
  <c r="T11" i="9"/>
  <c r="U12" i="9"/>
  <c r="X11" i="10" l="1"/>
  <c r="Y12" i="10"/>
  <c r="V12" i="9"/>
  <c r="U11" i="9"/>
  <c r="Z12" i="10" l="1"/>
  <c r="Y11" i="10"/>
  <c r="W12" i="9"/>
  <c r="V11" i="9"/>
  <c r="C24" i="5" l="1"/>
  <c r="AA12" i="10"/>
  <c r="Z11" i="10"/>
  <c r="W11" i="9"/>
  <c r="X12" i="9"/>
  <c r="AE24" i="5" l="1"/>
  <c r="F24" i="5"/>
  <c r="C25" i="5"/>
  <c r="A24" i="12"/>
  <c r="W24" i="5"/>
  <c r="AD24" i="5"/>
  <c r="B24" i="6"/>
  <c r="H24" i="5"/>
  <c r="G24" i="5"/>
  <c r="E24" i="5"/>
  <c r="N24" i="5"/>
  <c r="D24" i="6" s="1"/>
  <c r="I24" i="5"/>
  <c r="B24" i="5"/>
  <c r="AA11" i="10"/>
  <c r="AB12" i="10"/>
  <c r="X11" i="9"/>
  <c r="Y12" i="9"/>
  <c r="A24" i="6" l="1"/>
  <c r="B25" i="5"/>
  <c r="G25" i="5"/>
  <c r="F25" i="5"/>
  <c r="AD25" i="5"/>
  <c r="B25" i="6"/>
  <c r="H25" i="5"/>
  <c r="D25" i="5"/>
  <c r="B25" i="12" s="1"/>
  <c r="E25" i="5"/>
  <c r="K25" i="5"/>
  <c r="A25" i="12"/>
  <c r="AE25" i="5"/>
  <c r="J25" i="5"/>
  <c r="N25" i="5"/>
  <c r="D25" i="6" s="1"/>
  <c r="BF24" i="6"/>
  <c r="AV24" i="6"/>
  <c r="BE24" i="6"/>
  <c r="AX24" i="6"/>
  <c r="AQ24" i="6"/>
  <c r="AO24" i="6"/>
  <c r="AU24" i="6"/>
  <c r="BC24" i="6"/>
  <c r="BA24" i="6"/>
  <c r="N24" i="6"/>
  <c r="M24" i="6"/>
  <c r="H24" i="6"/>
  <c r="AS24" i="6"/>
  <c r="BD24" i="6"/>
  <c r="G24" i="6"/>
  <c r="BB24" i="6"/>
  <c r="AN24" i="6"/>
  <c r="AZ24" i="6"/>
  <c r="BG24" i="6"/>
  <c r="AP24" i="6"/>
  <c r="AM24" i="6"/>
  <c r="AT24" i="6"/>
  <c r="AR24" i="6"/>
  <c r="AY24" i="6"/>
  <c r="AB11" i="10"/>
  <c r="AC12" i="10"/>
  <c r="Y11" i="9"/>
  <c r="Z12" i="9"/>
  <c r="A25" i="6" l="1"/>
  <c r="M25" i="6" s="1"/>
  <c r="AG24" i="6"/>
  <c r="T24" i="5"/>
  <c r="AE24" i="6"/>
  <c r="AB24" i="6"/>
  <c r="AC24" i="6"/>
  <c r="AF24" i="6"/>
  <c r="AK24" i="6"/>
  <c r="AH24" i="6"/>
  <c r="AI24" i="6"/>
  <c r="AJ24" i="6"/>
  <c r="H25" i="6"/>
  <c r="AD24" i="6"/>
  <c r="C26" i="5"/>
  <c r="L25" i="12"/>
  <c r="J25" i="12"/>
  <c r="AD12" i="10"/>
  <c r="AC11" i="10"/>
  <c r="AA12" i="9"/>
  <c r="Z11" i="9"/>
  <c r="N25" i="6" l="1"/>
  <c r="T25" i="5"/>
  <c r="AK25" i="6"/>
  <c r="AG25" i="6"/>
  <c r="AJ25" i="6"/>
  <c r="AE25" i="6"/>
  <c r="AH25" i="6"/>
  <c r="AF25" i="6"/>
  <c r="AI25" i="6"/>
  <c r="E26" i="5"/>
  <c r="B26" i="5"/>
  <c r="D26" i="5"/>
  <c r="B26" i="12" s="1"/>
  <c r="A26" i="12"/>
  <c r="J26" i="5"/>
  <c r="H26" i="5"/>
  <c r="AE26" i="5"/>
  <c r="N26" i="5"/>
  <c r="D26" i="6" s="1"/>
  <c r="AD26" i="5"/>
  <c r="F26" i="5"/>
  <c r="G26" i="5"/>
  <c r="K26" i="5"/>
  <c r="B26" i="6"/>
  <c r="C27" i="5"/>
  <c r="C28" i="5" s="1"/>
  <c r="AV25" i="6"/>
  <c r="AQ25" i="6"/>
  <c r="AY25" i="6"/>
  <c r="AP25" i="6"/>
  <c r="BA25" i="6"/>
  <c r="BF25" i="6"/>
  <c r="BD25" i="6"/>
  <c r="AX25" i="6"/>
  <c r="AO25" i="6"/>
  <c r="AU25" i="6"/>
  <c r="AN25" i="6"/>
  <c r="BB25" i="6"/>
  <c r="AS25" i="6"/>
  <c r="BE25" i="6"/>
  <c r="AR25" i="6"/>
  <c r="BC25" i="6"/>
  <c r="AT25" i="6"/>
  <c r="BG25" i="6"/>
  <c r="AZ25" i="6"/>
  <c r="AM25" i="6"/>
  <c r="K25" i="12"/>
  <c r="AD11" i="10"/>
  <c r="AE12" i="10"/>
  <c r="AB12" i="9"/>
  <c r="AA11" i="9"/>
  <c r="B28" i="6" l="1"/>
  <c r="AD28" i="5"/>
  <c r="D28" i="5"/>
  <c r="B28" i="12" s="1"/>
  <c r="A28" i="12"/>
  <c r="K28" i="5"/>
  <c r="AE28" i="5"/>
  <c r="J28" i="5"/>
  <c r="N28" i="5"/>
  <c r="A26" i="6"/>
  <c r="N26" i="6" s="1"/>
  <c r="H26" i="6"/>
  <c r="L26" i="12"/>
  <c r="J26" i="12"/>
  <c r="A27" i="12"/>
  <c r="G27" i="5"/>
  <c r="G28" i="5" s="1"/>
  <c r="J27" i="5"/>
  <c r="B27" i="5"/>
  <c r="B28" i="5" s="1"/>
  <c r="AE27" i="5"/>
  <c r="B27" i="6"/>
  <c r="AD27" i="5"/>
  <c r="N27" i="5"/>
  <c r="D27" i="6" s="1"/>
  <c r="E27" i="5"/>
  <c r="E28" i="5" s="1"/>
  <c r="H27" i="5"/>
  <c r="H28" i="5" s="1"/>
  <c r="D27" i="5"/>
  <c r="B27" i="12" s="1"/>
  <c r="F27" i="5"/>
  <c r="F28" i="5" s="1"/>
  <c r="K27" i="5"/>
  <c r="AE11" i="10"/>
  <c r="AF12" i="10"/>
  <c r="AF11" i="10" s="1"/>
  <c r="AC12" i="9"/>
  <c r="AB11" i="9"/>
  <c r="D28" i="6" l="1"/>
  <c r="J28" i="12"/>
  <c r="L28" i="12"/>
  <c r="M26" i="6"/>
  <c r="AQ26" i="6" s="1"/>
  <c r="A27" i="6"/>
  <c r="M27" i="6" s="1"/>
  <c r="BF27" i="6" s="1"/>
  <c r="K26" i="12"/>
  <c r="L27" i="12"/>
  <c r="J27" i="12"/>
  <c r="T26" i="5"/>
  <c r="H27" i="6"/>
  <c r="AD12" i="9"/>
  <c r="AC11" i="9"/>
  <c r="K28" i="12" l="1"/>
  <c r="N28" i="6"/>
  <c r="M28" i="6"/>
  <c r="AV28" i="6" s="1"/>
  <c r="H28" i="6"/>
  <c r="T28" i="5" s="1"/>
  <c r="AV26" i="6"/>
  <c r="AP26" i="6"/>
  <c r="AN26" i="6"/>
  <c r="AR26" i="6"/>
  <c r="AO26" i="6"/>
  <c r="AY26" i="6"/>
  <c r="AT26" i="6"/>
  <c r="AG26" i="6"/>
  <c r="AS26" i="6"/>
  <c r="BA26" i="6"/>
  <c r="BC26" i="6"/>
  <c r="AH26" i="6"/>
  <c r="BG26" i="6"/>
  <c r="BE26" i="6"/>
  <c r="AZ26" i="6"/>
  <c r="BF26" i="6"/>
  <c r="AI26" i="6"/>
  <c r="AK26" i="6"/>
  <c r="AX26" i="6"/>
  <c r="AJ26" i="6"/>
  <c r="AE26" i="6"/>
  <c r="N27" i="6"/>
  <c r="AM26" i="6"/>
  <c r="BB26" i="6"/>
  <c r="AU26" i="6"/>
  <c r="AF26" i="6"/>
  <c r="BD26" i="6"/>
  <c r="K27" i="12"/>
  <c r="AY27" i="6"/>
  <c r="AS27" i="6"/>
  <c r="AX27" i="6"/>
  <c r="BD27" i="6"/>
  <c r="AQ27" i="6"/>
  <c r="BE27" i="6"/>
  <c r="BG27" i="6"/>
  <c r="AP27" i="6"/>
  <c r="AO27" i="6"/>
  <c r="AM27" i="6"/>
  <c r="BA27" i="6"/>
  <c r="AN27" i="6"/>
  <c r="AU27" i="6"/>
  <c r="AZ27" i="6"/>
  <c r="BC27" i="6"/>
  <c r="AR27" i="6"/>
  <c r="AV27" i="6"/>
  <c r="BB27" i="6"/>
  <c r="AT27" i="6"/>
  <c r="T27" i="5"/>
  <c r="AG27" i="6"/>
  <c r="AK27" i="6"/>
  <c r="AI27" i="6"/>
  <c r="AE27" i="6"/>
  <c r="AF27" i="6"/>
  <c r="AH27" i="6"/>
  <c r="AJ27" i="6"/>
  <c r="AE12" i="9"/>
  <c r="AE11" i="9" s="1"/>
  <c r="AD11" i="9"/>
  <c r="AS28" i="6" l="1"/>
  <c r="AI28" i="6"/>
  <c r="AX28" i="6"/>
  <c r="AK28" i="6"/>
  <c r="AH28" i="6"/>
  <c r="BA28" i="6"/>
  <c r="AF28" i="6"/>
  <c r="BF28" i="6"/>
  <c r="AT28" i="6"/>
  <c r="AZ28" i="6"/>
  <c r="AO28" i="6"/>
  <c r="BC28" i="6"/>
  <c r="AP28" i="6"/>
  <c r="BG28" i="6"/>
  <c r="AM28" i="6"/>
  <c r="BD28" i="6"/>
  <c r="AN28" i="6"/>
  <c r="BE28" i="6"/>
  <c r="AQ28" i="6"/>
  <c r="AR28" i="6"/>
  <c r="AJ28" i="6"/>
  <c r="BB28" i="6"/>
  <c r="AG28" i="6"/>
  <c r="AY28" i="6"/>
  <c r="AU28" i="6"/>
  <c r="AE28" i="6"/>
  <c r="A30" i="6" l="1"/>
  <c r="K21" i="5" l="1"/>
  <c r="C16" i="9" l="1"/>
  <c r="C16" i="10"/>
  <c r="A1" i="9"/>
  <c r="C1" i="9"/>
  <c r="C17" i="10"/>
  <c r="C17" i="9"/>
  <c r="C1" i="10"/>
  <c r="A1" i="10"/>
  <c r="AO12" i="13"/>
  <c r="AL12" i="13"/>
  <c r="AN12" i="13" l="1"/>
  <c r="AM12" i="13"/>
  <c r="AK12" i="13"/>
  <c r="C29" i="5" l="1"/>
  <c r="AE29" i="5" l="1"/>
  <c r="E29" i="5"/>
  <c r="W29" i="5"/>
  <c r="B29" i="6"/>
  <c r="A29" i="6" s="1"/>
  <c r="AD29" i="5"/>
  <c r="B29" i="5"/>
  <c r="G29" i="5"/>
  <c r="H29" i="5"/>
  <c r="F29" i="5"/>
  <c r="A29" i="12"/>
  <c r="I29" i="5"/>
  <c r="N29" i="5"/>
  <c r="D29" i="6" s="1"/>
  <c r="C30" i="5"/>
  <c r="AU29" i="6" l="1"/>
  <c r="BA29" i="6"/>
  <c r="AO29" i="6"/>
  <c r="AY29" i="6"/>
  <c r="AQ29" i="6"/>
  <c r="BG29" i="6"/>
  <c r="N29" i="6"/>
  <c r="H29" i="6"/>
  <c r="T29" i="5" s="1"/>
  <c r="AT29" i="6"/>
  <c r="AX29" i="6"/>
  <c r="AR29" i="6"/>
  <c r="AV29" i="6"/>
  <c r="G29" i="6"/>
  <c r="BF29" i="6"/>
  <c r="AZ29" i="6"/>
  <c r="BE29" i="6"/>
  <c r="AN29" i="6"/>
  <c r="BC29" i="6"/>
  <c r="AM29" i="6"/>
  <c r="M29" i="6"/>
  <c r="AC29" i="6" s="1"/>
  <c r="AS29" i="6"/>
  <c r="BD29" i="6"/>
  <c r="BB29" i="6"/>
  <c r="AP29" i="6"/>
  <c r="C31" i="5"/>
  <c r="AE30" i="5"/>
  <c r="G30" i="5"/>
  <c r="N30" i="5"/>
  <c r="D30" i="6" s="1"/>
  <c r="H30" i="5"/>
  <c r="K30" i="5"/>
  <c r="D30" i="5"/>
  <c r="B30" i="12" s="1"/>
  <c r="B30" i="6"/>
  <c r="B30" i="5"/>
  <c r="AD30" i="5"/>
  <c r="J30" i="5"/>
  <c r="F30" i="5"/>
  <c r="A30" i="12"/>
  <c r="E30" i="5"/>
  <c r="K23" i="5"/>
  <c r="B31" i="5" l="1"/>
  <c r="AF29" i="6"/>
  <c r="H31" i="5"/>
  <c r="AI29" i="6"/>
  <c r="E31" i="5"/>
  <c r="J16" i="5" s="1"/>
  <c r="AJ29" i="6"/>
  <c r="AG29" i="6"/>
  <c r="AB29" i="6"/>
  <c r="J30" i="12"/>
  <c r="L30" i="12"/>
  <c r="B31" i="6"/>
  <c r="AE31" i="5"/>
  <c r="D31" i="5"/>
  <c r="B31" i="12" s="1"/>
  <c r="AD31" i="5"/>
  <c r="E26" i="8" s="1"/>
  <c r="E27" i="8" s="1"/>
  <c r="K31" i="5"/>
  <c r="A31" i="12"/>
  <c r="N31" i="5"/>
  <c r="D31" i="6" s="1"/>
  <c r="J31" i="5"/>
  <c r="F31" i="5"/>
  <c r="J21" i="5" s="1"/>
  <c r="D21" i="5" s="1"/>
  <c r="B21" i="12" s="1"/>
  <c r="A5" i="5"/>
  <c r="AE29" i="6"/>
  <c r="AK29" i="6"/>
  <c r="M30" i="6"/>
  <c r="AZ30" i="6" s="1"/>
  <c r="N30" i="6"/>
  <c r="H30" i="6"/>
  <c r="T30" i="5" s="1"/>
  <c r="G31" i="5"/>
  <c r="K24" i="5" s="1"/>
  <c r="E17" i="8"/>
  <c r="E18" i="8" s="1"/>
  <c r="AD29" i="6"/>
  <c r="AH29" i="6"/>
  <c r="E14" i="8" l="1"/>
  <c r="E15" i="8" s="1"/>
  <c r="E23" i="8"/>
  <c r="E24" i="8" s="1"/>
  <c r="I23" i="8" s="1"/>
  <c r="J23" i="5"/>
  <c r="D23" i="5" s="1"/>
  <c r="B23" i="12" s="1"/>
  <c r="BF30" i="6"/>
  <c r="AR30" i="6"/>
  <c r="AS30" i="6"/>
  <c r="BG30" i="6"/>
  <c r="K16" i="5"/>
  <c r="D16" i="5" s="1"/>
  <c r="AO30" i="6"/>
  <c r="AY30" i="6"/>
  <c r="AT30" i="6"/>
  <c r="BA30" i="6"/>
  <c r="A12" i="13"/>
  <c r="B12" i="13" s="1"/>
  <c r="AJ12" i="13" s="1"/>
  <c r="BB30" i="6"/>
  <c r="AP30" i="6"/>
  <c r="AV30" i="6"/>
  <c r="B12" i="11"/>
  <c r="AB12" i="11" s="1"/>
  <c r="N12" i="11" s="1"/>
  <c r="AQ30" i="6"/>
  <c r="AN30" i="6"/>
  <c r="BE30" i="6"/>
  <c r="K30" i="12"/>
  <c r="J29" i="5"/>
  <c r="AH30" i="6"/>
  <c r="AG30" i="6"/>
  <c r="AE30" i="6"/>
  <c r="K29" i="5"/>
  <c r="AI30" i="6"/>
  <c r="AU30" i="6"/>
  <c r="BD30" i="6"/>
  <c r="J19" i="5"/>
  <c r="D19" i="5" s="1"/>
  <c r="B19" i="12" s="1"/>
  <c r="E20" i="8"/>
  <c r="E21" i="8" s="1"/>
  <c r="L26" i="8"/>
  <c r="O26" i="8" s="1"/>
  <c r="I26" i="8"/>
  <c r="N31" i="6"/>
  <c r="M31" i="6"/>
  <c r="AQ31" i="6" s="1"/>
  <c r="H31" i="6"/>
  <c r="T31" i="5" s="1"/>
  <c r="I17" i="8"/>
  <c r="L17" i="8"/>
  <c r="P17" i="8" s="1"/>
  <c r="L31" i="12"/>
  <c r="J31" i="12"/>
  <c r="E1" i="8"/>
  <c r="E2" i="8" s="1"/>
  <c r="E29" i="8"/>
  <c r="E30" i="8" s="1"/>
  <c r="I14" i="8"/>
  <c r="L14" i="8"/>
  <c r="R16" i="8" s="1"/>
  <c r="AM30" i="6"/>
  <c r="AF30" i="6"/>
  <c r="AK30" i="6"/>
  <c r="AX30" i="6"/>
  <c r="BC30" i="6"/>
  <c r="AJ30" i="6"/>
  <c r="J24" i="5"/>
  <c r="D24" i="5" s="1"/>
  <c r="B24" i="12" s="1"/>
  <c r="J17" i="5"/>
  <c r="D17" i="5" s="1"/>
  <c r="B17" i="12" s="1"/>
  <c r="E21" i="12"/>
  <c r="F21" i="6"/>
  <c r="N22" i="6" s="1"/>
  <c r="L23" i="8" l="1"/>
  <c r="P23" i="8" s="1"/>
  <c r="K12" i="11"/>
  <c r="J12" i="13" s="1"/>
  <c r="AT31" i="6"/>
  <c r="D29" i="5"/>
  <c r="B29" i="12" s="1"/>
  <c r="BD31" i="6"/>
  <c r="B14" i="13"/>
  <c r="B16" i="12"/>
  <c r="O14" i="8"/>
  <c r="C12" i="13"/>
  <c r="K12" i="13" s="1"/>
  <c r="AZ31" i="6"/>
  <c r="BG31" i="6"/>
  <c r="P14" i="8"/>
  <c r="O12" i="11"/>
  <c r="W12" i="11" s="1"/>
  <c r="G12" i="11"/>
  <c r="F12" i="13" s="1"/>
  <c r="BA31" i="6"/>
  <c r="AS31" i="6"/>
  <c r="P26" i="8"/>
  <c r="AA12" i="11"/>
  <c r="AY31" i="6"/>
  <c r="AU31" i="6"/>
  <c r="AV31" i="6"/>
  <c r="BF31" i="6"/>
  <c r="AN31" i="6"/>
  <c r="BB31" i="6"/>
  <c r="AP31" i="6"/>
  <c r="AM31" i="6"/>
  <c r="AF31" i="6"/>
  <c r="AF15" i="6" s="1"/>
  <c r="U15" i="6" s="1"/>
  <c r="AI31" i="6"/>
  <c r="AI15" i="6" s="1"/>
  <c r="X15" i="6" s="1"/>
  <c r="AE31" i="6"/>
  <c r="AE15" i="6" s="1"/>
  <c r="T15" i="6" s="1"/>
  <c r="N14" i="8"/>
  <c r="AX31" i="6"/>
  <c r="BC31" i="6"/>
  <c r="AG31" i="6"/>
  <c r="AG15" i="6" s="1"/>
  <c r="V15" i="6" s="1"/>
  <c r="AR31" i="6"/>
  <c r="AO31" i="6"/>
  <c r="P1" i="8"/>
  <c r="O1" i="8"/>
  <c r="N1" i="8"/>
  <c r="L1" i="8"/>
  <c r="I1" i="8"/>
  <c r="R1" i="8"/>
  <c r="F1" i="8" s="1"/>
  <c r="M1" i="8"/>
  <c r="H1" i="8"/>
  <c r="I29" i="8"/>
  <c r="L29" i="8"/>
  <c r="R19" i="8"/>
  <c r="R28" i="8"/>
  <c r="K31" i="12"/>
  <c r="O17" i="8"/>
  <c r="AH31" i="6"/>
  <c r="AH15" i="6" s="1"/>
  <c r="W15" i="6" s="1"/>
  <c r="AJ31" i="6"/>
  <c r="AJ15" i="6" s="1"/>
  <c r="Y15" i="6" s="1"/>
  <c r="AK31" i="6"/>
  <c r="AK15" i="6" s="1"/>
  <c r="Z15" i="6" s="1"/>
  <c r="BE31" i="6"/>
  <c r="M12" i="6"/>
  <c r="L20" i="8"/>
  <c r="P20" i="8" s="1"/>
  <c r="I20" i="8"/>
  <c r="C18" i="9"/>
  <c r="C18" i="10"/>
  <c r="R25" i="8" l="1"/>
  <c r="N23" i="8"/>
  <c r="O23" i="8"/>
  <c r="D15" i="5"/>
  <c r="T12" i="13"/>
  <c r="R12" i="13"/>
  <c r="L12" i="13"/>
  <c r="V12" i="13" s="1"/>
  <c r="M12" i="13"/>
  <c r="C12" i="11"/>
  <c r="S12" i="13"/>
  <c r="Z12" i="11"/>
  <c r="U12" i="13"/>
  <c r="O12" i="13"/>
  <c r="O29" i="8"/>
  <c r="P29" i="8"/>
  <c r="R22" i="8"/>
  <c r="Q1" i="8"/>
  <c r="R3" i="8"/>
  <c r="N20" i="8"/>
  <c r="O20" i="8"/>
  <c r="R31" i="8"/>
  <c r="N26" i="8"/>
  <c r="F2" i="8"/>
  <c r="G1" i="8"/>
  <c r="I2" i="8" s="1"/>
  <c r="G2" i="8"/>
  <c r="N17" i="8"/>
  <c r="I21" i="5"/>
  <c r="N12" i="13" l="1"/>
  <c r="D12" i="13"/>
  <c r="P12" i="13"/>
  <c r="U3" i="8"/>
  <c r="AE3" i="8"/>
  <c r="AD1" i="8"/>
  <c r="T3" i="8"/>
  <c r="AE1" i="8"/>
  <c r="X1" i="8"/>
  <c r="C1" i="8"/>
  <c r="V3" i="8"/>
  <c r="Z3" i="8"/>
  <c r="U1" i="8"/>
  <c r="W1" i="8"/>
  <c r="Z1" i="8"/>
  <c r="X3" i="8"/>
  <c r="V1" i="8"/>
  <c r="Y3" i="8"/>
  <c r="AD3" i="8"/>
  <c r="AB1" i="8"/>
  <c r="D3" i="8"/>
  <c r="W3" i="8"/>
  <c r="Y1" i="8"/>
  <c r="AC1" i="8"/>
  <c r="D1" i="8"/>
  <c r="E3" i="8"/>
  <c r="T1" i="8"/>
  <c r="AA3" i="8"/>
  <c r="AB3" i="8"/>
  <c r="B1" i="8"/>
  <c r="AC3" i="8"/>
  <c r="AA1" i="8"/>
  <c r="G21" i="6"/>
  <c r="M29" i="8" l="1"/>
  <c r="M17" i="8"/>
  <c r="Q17" i="8" s="1"/>
  <c r="M20" i="8"/>
  <c r="Q20" i="8" s="1"/>
  <c r="E22" i="8" s="1"/>
  <c r="M14" i="8"/>
  <c r="Q14" i="8" s="1"/>
  <c r="M23" i="8"/>
  <c r="Q23" i="8" s="1"/>
  <c r="E25" i="8" s="1"/>
  <c r="M26" i="8"/>
  <c r="Q26" i="8" s="1"/>
  <c r="E28" i="8" s="1"/>
  <c r="X22" i="8" l="1"/>
  <c r="AA22" i="8"/>
  <c r="Y22" i="8"/>
  <c r="W22" i="8"/>
  <c r="AD22" i="8"/>
  <c r="AC22" i="8"/>
  <c r="AE22" i="8"/>
  <c r="AB22" i="8"/>
  <c r="Z22" i="8"/>
  <c r="V22" i="8"/>
  <c r="AE25" i="8"/>
  <c r="X25" i="8"/>
  <c r="Y28" i="8"/>
  <c r="AB25" i="8"/>
  <c r="AC28" i="8"/>
  <c r="AA28" i="8"/>
  <c r="AB28" i="8"/>
  <c r="Z25" i="8"/>
  <c r="AC25" i="8"/>
  <c r="Y25" i="8"/>
  <c r="B14" i="8"/>
  <c r="E16" i="8"/>
  <c r="C14" i="8"/>
  <c r="AE28" i="8"/>
  <c r="Z28" i="8"/>
  <c r="AD25" i="8"/>
  <c r="W25" i="8"/>
  <c r="U28" i="8"/>
  <c r="AD28" i="8"/>
  <c r="AA25" i="8"/>
  <c r="V25" i="8"/>
  <c r="AO14" i="13"/>
  <c r="AL14" i="13"/>
  <c r="AK14" i="13" l="1"/>
  <c r="AN14" i="13"/>
  <c r="AM14" i="13" l="1"/>
  <c r="AJ14" i="13"/>
  <c r="AF29" i="5"/>
  <c r="AG29" i="5" l="1"/>
  <c r="U29" i="5" s="1"/>
  <c r="AN29" i="5" s="1"/>
  <c r="S29" i="5"/>
  <c r="X28" i="8" l="1"/>
  <c r="N29" i="8" l="1"/>
  <c r="Q29" i="8" s="1"/>
  <c r="E31" i="8" s="1"/>
  <c r="U22" i="8"/>
  <c r="AD31" i="8" l="1"/>
  <c r="AA31" i="8"/>
  <c r="AC31" i="8"/>
  <c r="U31" i="8"/>
  <c r="AE31" i="8"/>
  <c r="AB31" i="8"/>
  <c r="Z31" i="8"/>
  <c r="AD28" i="6" l="1"/>
  <c r="AD22" i="6"/>
  <c r="AD20" i="6"/>
  <c r="AD25" i="6"/>
  <c r="AD26" i="6"/>
  <c r="AD27" i="6"/>
  <c r="V31" i="8" l="1"/>
  <c r="W31" i="8"/>
  <c r="X31" i="8"/>
  <c r="W28" i="8"/>
  <c r="AD30" i="6" l="1"/>
  <c r="AD31" i="6"/>
  <c r="AD15" i="6" l="1"/>
  <c r="S15" i="6" s="1"/>
  <c r="U25" i="8" l="1"/>
  <c r="V28" i="8"/>
  <c r="Y31" i="8" l="1"/>
  <c r="AF14" i="5"/>
  <c r="AF21" i="5"/>
  <c r="AF23" i="5"/>
  <c r="AF24" i="5"/>
  <c r="AF19" i="5"/>
  <c r="AF17" i="5"/>
  <c r="AF16" i="5"/>
  <c r="AF22" i="5"/>
  <c r="AF26" i="5"/>
  <c r="AF27" i="5"/>
  <c r="AF30" i="5"/>
  <c r="AF18" i="5"/>
  <c r="AF28" i="5"/>
  <c r="AF20" i="5"/>
  <c r="AF25" i="5"/>
  <c r="AF31" i="5"/>
  <c r="R31" i="5" l="1"/>
  <c r="S31" i="5"/>
  <c r="G31" i="6" s="1"/>
  <c r="AG31" i="5"/>
  <c r="U31" i="5" s="1"/>
  <c r="AG25" i="5"/>
  <c r="U25" i="5" s="1"/>
  <c r="S25" i="5"/>
  <c r="G25" i="6" s="1"/>
  <c r="R25" i="5"/>
  <c r="AG20" i="5"/>
  <c r="U20" i="5" s="1"/>
  <c r="R20" i="5"/>
  <c r="S20" i="5"/>
  <c r="G20" i="6" s="1"/>
  <c r="S28" i="5"/>
  <c r="G28" i="6" s="1"/>
  <c r="AG28" i="5"/>
  <c r="U28" i="5" s="1"/>
  <c r="R28" i="5"/>
  <c r="S18" i="5"/>
  <c r="G18" i="6" s="1"/>
  <c r="R18" i="5"/>
  <c r="AG18" i="5"/>
  <c r="U18" i="5" s="1"/>
  <c r="R30" i="5"/>
  <c r="S30" i="5"/>
  <c r="G30" i="6" s="1"/>
  <c r="AG30" i="5"/>
  <c r="U30" i="5" s="1"/>
  <c r="R27" i="5"/>
  <c r="AG27" i="5"/>
  <c r="U27" i="5" s="1"/>
  <c r="S27" i="5"/>
  <c r="G27" i="6" s="1"/>
  <c r="S26" i="5"/>
  <c r="G26" i="6" s="1"/>
  <c r="AG26" i="5"/>
  <c r="U26" i="5" s="1"/>
  <c r="R26" i="5"/>
  <c r="AG22" i="5"/>
  <c r="U22" i="5" s="1"/>
  <c r="S22" i="5"/>
  <c r="G22" i="6" s="1"/>
  <c r="R22" i="5"/>
  <c r="AG16" i="5"/>
  <c r="S17" i="5"/>
  <c r="AG17" i="5"/>
  <c r="AG19" i="5"/>
  <c r="AG24" i="5"/>
  <c r="S24" i="5"/>
  <c r="AG23" i="5"/>
  <c r="U23" i="5" s="1"/>
  <c r="AN23" i="5" s="1"/>
  <c r="AG21" i="5"/>
  <c r="S21" i="5"/>
  <c r="S14" i="5"/>
  <c r="G14" i="6" s="1"/>
  <c r="R14" i="5"/>
  <c r="AG14" i="5"/>
  <c r="F26" i="6" l="1"/>
  <c r="E26" i="12"/>
  <c r="AN27" i="5"/>
  <c r="W27" i="5"/>
  <c r="X27" i="5" s="1"/>
  <c r="F30" i="6"/>
  <c r="E30" i="12"/>
  <c r="F28" i="6"/>
  <c r="E28" i="12"/>
  <c r="E20" i="12"/>
  <c r="F20" i="6"/>
  <c r="AN25" i="5"/>
  <c r="W25" i="5"/>
  <c r="X25" i="5" s="1"/>
  <c r="E14" i="12"/>
  <c r="F14" i="6"/>
  <c r="AC14" i="5"/>
  <c r="F22" i="6"/>
  <c r="E22" i="12"/>
  <c r="W26" i="5"/>
  <c r="X26" i="5" s="1"/>
  <c r="AN26" i="5"/>
  <c r="F27" i="6"/>
  <c r="E27" i="12"/>
  <c r="AC27" i="5"/>
  <c r="AN18" i="5"/>
  <c r="W18" i="5"/>
  <c r="X18" i="5" s="1"/>
  <c r="AN28" i="5"/>
  <c r="W28" i="5"/>
  <c r="X28" i="5" s="1"/>
  <c r="AN20" i="5"/>
  <c r="W20" i="5"/>
  <c r="X20" i="5" s="1"/>
  <c r="AC20" i="5" s="1"/>
  <c r="AN31" i="5"/>
  <c r="W31" i="5"/>
  <c r="X31" i="5" s="1"/>
  <c r="AN30" i="5"/>
  <c r="W30" i="5"/>
  <c r="X30" i="5" s="1"/>
  <c r="F18" i="6"/>
  <c r="E18" i="12"/>
  <c r="F25" i="6"/>
  <c r="E25" i="12"/>
  <c r="AC25" i="5"/>
  <c r="W22" i="5"/>
  <c r="X22" i="5" s="1"/>
  <c r="AC22" i="5" s="1"/>
  <c r="AN22" i="5"/>
  <c r="F31" i="6"/>
  <c r="E31" i="12"/>
  <c r="AC31" i="5"/>
  <c r="AB28" i="6" l="1"/>
  <c r="I28" i="12"/>
  <c r="AM28" i="5"/>
  <c r="AC28" i="6"/>
  <c r="Z28" i="5"/>
  <c r="L28" i="5"/>
  <c r="AM22" i="5"/>
  <c r="I22" i="12"/>
  <c r="AB22" i="6"/>
  <c r="I22" i="5"/>
  <c r="Z22" i="5"/>
  <c r="L22" i="5"/>
  <c r="AC22" i="6"/>
  <c r="X21" i="5"/>
  <c r="AC30" i="6"/>
  <c r="AM30" i="5"/>
  <c r="I30" i="12"/>
  <c r="Z30" i="5"/>
  <c r="I30" i="5"/>
  <c r="L30" i="5"/>
  <c r="AB30" i="6"/>
  <c r="X29" i="5"/>
  <c r="X16" i="5"/>
  <c r="L18" i="5"/>
  <c r="X15" i="5"/>
  <c r="AM18" i="5"/>
  <c r="F15" i="7"/>
  <c r="A15" i="10" s="1"/>
  <c r="I18" i="5"/>
  <c r="Z18" i="5"/>
  <c r="E19" i="8"/>
  <c r="X17" i="5"/>
  <c r="I18" i="12"/>
  <c r="AC27" i="6"/>
  <c r="I27" i="12"/>
  <c r="Z27" i="5"/>
  <c r="AM27" i="5"/>
  <c r="AB27" i="6"/>
  <c r="L27" i="5"/>
  <c r="X19" i="5"/>
  <c r="AC20" i="6"/>
  <c r="AM20" i="5"/>
  <c r="I20" i="5"/>
  <c r="AB20" i="6"/>
  <c r="Z20" i="5"/>
  <c r="L20" i="5"/>
  <c r="I20" i="12"/>
  <c r="AC18" i="5"/>
  <c r="X24" i="5"/>
  <c r="AM25" i="5"/>
  <c r="L25" i="5"/>
  <c r="Z25" i="5"/>
  <c r="I25" i="5"/>
  <c r="I26" i="5" s="1"/>
  <c r="I27" i="5" s="1"/>
  <c r="I28" i="5" s="1"/>
  <c r="I25" i="12"/>
  <c r="AB25" i="6"/>
  <c r="AC25" i="6"/>
  <c r="X23" i="5"/>
  <c r="AC30" i="5"/>
  <c r="Z31" i="5"/>
  <c r="I31" i="12"/>
  <c r="L31" i="5"/>
  <c r="AM31" i="5"/>
  <c r="AC31" i="6"/>
  <c r="T31" i="8" s="1"/>
  <c r="I31" i="5"/>
  <c r="AB31" i="6"/>
  <c r="L26" i="5"/>
  <c r="AC26" i="6"/>
  <c r="I26" i="12"/>
  <c r="Z26" i="5"/>
  <c r="AM26" i="5"/>
  <c r="AB26" i="6"/>
  <c r="AC28" i="5"/>
  <c r="AC26" i="5"/>
  <c r="AB26" i="5" l="1"/>
  <c r="AA26" i="5"/>
  <c r="C31" i="6"/>
  <c r="O31" i="5"/>
  <c r="C31" i="12"/>
  <c r="O31" i="12"/>
  <c r="M31" i="12"/>
  <c r="AO31" i="12"/>
  <c r="Y31" i="12" s="1"/>
  <c r="D22" i="8"/>
  <c r="T22" i="8"/>
  <c r="AB15" i="6"/>
  <c r="AB31" i="5"/>
  <c r="AA31" i="5"/>
  <c r="O25" i="5"/>
  <c r="C25" i="6"/>
  <c r="C20" i="12"/>
  <c r="O20" i="12"/>
  <c r="M20" i="12"/>
  <c r="M19" i="12" s="1"/>
  <c r="AO20" i="12"/>
  <c r="O27" i="5"/>
  <c r="C27" i="6"/>
  <c r="AO27" i="12"/>
  <c r="Y27" i="12" s="1"/>
  <c r="M27" i="12"/>
  <c r="C27" i="12"/>
  <c r="O27" i="12"/>
  <c r="N27" i="12" s="1"/>
  <c r="C18" i="12"/>
  <c r="O18" i="12"/>
  <c r="AO18" i="12"/>
  <c r="M18" i="12"/>
  <c r="C18" i="6"/>
  <c r="O18" i="5"/>
  <c r="C30" i="6"/>
  <c r="O30" i="5"/>
  <c r="O22" i="5"/>
  <c r="C22" i="6"/>
  <c r="AO22" i="12"/>
  <c r="M22" i="12"/>
  <c r="M21" i="12" s="1"/>
  <c r="C22" i="12"/>
  <c r="O22" i="12"/>
  <c r="AC23" i="5"/>
  <c r="AM23" i="5"/>
  <c r="L23" i="5"/>
  <c r="R26" i="8"/>
  <c r="Z23" i="5"/>
  <c r="I23" i="12"/>
  <c r="O26" i="12"/>
  <c r="N26" i="12" s="1"/>
  <c r="AO26" i="12"/>
  <c r="M26" i="12"/>
  <c r="C26" i="12"/>
  <c r="C26" i="6"/>
  <c r="O26" i="5"/>
  <c r="C25" i="12"/>
  <c r="M25" i="12"/>
  <c r="O25" i="12"/>
  <c r="AO25" i="12"/>
  <c r="C20" i="6"/>
  <c r="O20" i="5"/>
  <c r="I17" i="12"/>
  <c r="Z17" i="5"/>
  <c r="AM17" i="5"/>
  <c r="L17" i="5"/>
  <c r="R17" i="8"/>
  <c r="AC17" i="5"/>
  <c r="I16" i="12"/>
  <c r="R14" i="8"/>
  <c r="Z16" i="5"/>
  <c r="L16" i="5"/>
  <c r="O14" i="11"/>
  <c r="AC16" i="5"/>
  <c r="AM16" i="5"/>
  <c r="D31" i="8"/>
  <c r="AB22" i="5"/>
  <c r="AB21" i="5" s="1"/>
  <c r="AA22" i="5"/>
  <c r="AA21" i="5" s="1"/>
  <c r="I24" i="12"/>
  <c r="AM24" i="5"/>
  <c r="L24" i="5"/>
  <c r="Z24" i="5"/>
  <c r="AC24" i="5"/>
  <c r="AB20" i="5"/>
  <c r="AB19" i="5" s="1"/>
  <c r="AA20" i="5"/>
  <c r="AA19" i="5" s="1"/>
  <c r="AC15" i="6"/>
  <c r="R15" i="6" s="1"/>
  <c r="V19" i="8"/>
  <c r="V17" i="8" s="1"/>
  <c r="AC19" i="8"/>
  <c r="AC17" i="8" s="1"/>
  <c r="U19" i="8"/>
  <c r="U17" i="8" s="1"/>
  <c r="AE19" i="8"/>
  <c r="AE17" i="8" s="1"/>
  <c r="AB19" i="8"/>
  <c r="AB17" i="8" s="1"/>
  <c r="W19" i="8"/>
  <c r="W17" i="8" s="1"/>
  <c r="T19" i="8"/>
  <c r="T17" i="8" s="1"/>
  <c r="G17" i="8" s="1"/>
  <c r="I18" i="8" s="1"/>
  <c r="AA19" i="8"/>
  <c r="AA17" i="8" s="1"/>
  <c r="Y19" i="8"/>
  <c r="Y17" i="8" s="1"/>
  <c r="X19" i="8"/>
  <c r="X17" i="8" s="1"/>
  <c r="Z19" i="8"/>
  <c r="Z17" i="8" s="1"/>
  <c r="D19" i="8"/>
  <c r="D17" i="8" s="1"/>
  <c r="AD19" i="8"/>
  <c r="AD17" i="8" s="1"/>
  <c r="L29" i="5"/>
  <c r="I29" i="12"/>
  <c r="Z29" i="5"/>
  <c r="R29" i="8"/>
  <c r="AC29" i="5"/>
  <c r="AM29" i="5"/>
  <c r="AB30" i="5"/>
  <c r="AB29" i="5" s="1"/>
  <c r="C29" i="8" s="1"/>
  <c r="AA30" i="5"/>
  <c r="AA29" i="5" s="1"/>
  <c r="B29" i="8" s="1"/>
  <c r="AM21" i="5"/>
  <c r="Z21" i="5"/>
  <c r="L21" i="5"/>
  <c r="I21" i="12"/>
  <c r="R23" i="8"/>
  <c r="AC21" i="5"/>
  <c r="O28" i="5"/>
  <c r="C28" i="6"/>
  <c r="C28" i="12"/>
  <c r="O28" i="12"/>
  <c r="M28" i="12"/>
  <c r="AO28" i="12"/>
  <c r="Y28" i="12" s="1"/>
  <c r="T28" i="8"/>
  <c r="T26" i="8" s="1"/>
  <c r="G26" i="8" s="1"/>
  <c r="I27" i="8" s="1"/>
  <c r="D28" i="8"/>
  <c r="D26" i="8" s="1"/>
  <c r="AB25" i="5"/>
  <c r="AA25" i="5"/>
  <c r="R20" i="8"/>
  <c r="L19" i="5"/>
  <c r="Z19" i="5"/>
  <c r="AM19" i="5"/>
  <c r="I19" i="12"/>
  <c r="AC19" i="5"/>
  <c r="AB27" i="5"/>
  <c r="AA27" i="5"/>
  <c r="AB18" i="5"/>
  <c r="AA18" i="5"/>
  <c r="AC28" i="10"/>
  <c r="AA28" i="10"/>
  <c r="I28" i="10"/>
  <c r="Q28" i="10"/>
  <c r="K28" i="10"/>
  <c r="Y28" i="10"/>
  <c r="W28" i="10"/>
  <c r="Z15" i="5"/>
  <c r="O28" i="10"/>
  <c r="AM15" i="5"/>
  <c r="M28" i="10"/>
  <c r="S28" i="10"/>
  <c r="AE28" i="10"/>
  <c r="U28" i="10"/>
  <c r="AO30" i="12"/>
  <c r="O30" i="12"/>
  <c r="M30" i="12"/>
  <c r="M29" i="12" s="1"/>
  <c r="C30" i="12"/>
  <c r="D25" i="8"/>
  <c r="D23" i="8" s="1"/>
  <c r="T25" i="8"/>
  <c r="T23" i="8" s="1"/>
  <c r="AB28" i="5"/>
  <c r="AA28" i="5"/>
  <c r="O29" i="12" l="1"/>
  <c r="N29" i="12" s="1"/>
  <c r="N30" i="12"/>
  <c r="S26" i="10"/>
  <c r="S25" i="10" s="1"/>
  <c r="S27" i="10"/>
  <c r="Q26" i="10"/>
  <c r="Q25" i="10" s="1"/>
  <c r="Q27" i="10"/>
  <c r="AA17" i="5"/>
  <c r="B17" i="8" s="1"/>
  <c r="AA16" i="5"/>
  <c r="AA15" i="5"/>
  <c r="O19" i="5"/>
  <c r="C19" i="6"/>
  <c r="N28" i="12"/>
  <c r="C29" i="12"/>
  <c r="J29" i="12"/>
  <c r="L29" i="12"/>
  <c r="K29" i="12" s="1"/>
  <c r="B20" i="8"/>
  <c r="C24" i="6"/>
  <c r="O24" i="5"/>
  <c r="L14" i="13"/>
  <c r="W14" i="11"/>
  <c r="C14" i="11"/>
  <c r="O15" i="11"/>
  <c r="C16" i="12"/>
  <c r="L16" i="12"/>
  <c r="J16" i="12"/>
  <c r="AO21" i="12"/>
  <c r="Y22" i="12"/>
  <c r="AO17" i="12"/>
  <c r="AO16" i="12"/>
  <c r="Y18" i="12"/>
  <c r="D27" i="12"/>
  <c r="E27" i="6"/>
  <c r="W31" i="12"/>
  <c r="X31" i="12"/>
  <c r="D31" i="12"/>
  <c r="E31" i="6"/>
  <c r="M27" i="10"/>
  <c r="M26" i="10"/>
  <c r="M25" i="10" s="1"/>
  <c r="W26" i="10"/>
  <c r="W25" i="10" s="1"/>
  <c r="W27" i="10"/>
  <c r="I27" i="10"/>
  <c r="AE9" i="10" s="1"/>
  <c r="I26" i="10"/>
  <c r="I25" i="10" s="1"/>
  <c r="Y9" i="10" s="1"/>
  <c r="AB16" i="5"/>
  <c r="AB15" i="5"/>
  <c r="AB17" i="5"/>
  <c r="C17" i="8" s="1"/>
  <c r="J19" i="12"/>
  <c r="L19" i="12"/>
  <c r="C19" i="12"/>
  <c r="F20" i="8"/>
  <c r="U20" i="8"/>
  <c r="G20" i="8" s="1"/>
  <c r="I21" i="8" s="1"/>
  <c r="AC20" i="8"/>
  <c r="G21" i="8"/>
  <c r="AA20" i="8"/>
  <c r="AD20" i="8"/>
  <c r="Y20" i="8"/>
  <c r="X20" i="8"/>
  <c r="C20" i="8"/>
  <c r="AE20" i="8"/>
  <c r="V20" i="8"/>
  <c r="AB20" i="8"/>
  <c r="Z20" i="8"/>
  <c r="F21" i="8"/>
  <c r="W20" i="8"/>
  <c r="X23" i="8"/>
  <c r="C23" i="8"/>
  <c r="Z23" i="8"/>
  <c r="AC23" i="8"/>
  <c r="W23" i="8"/>
  <c r="G23" i="8" s="1"/>
  <c r="I24" i="8" s="1"/>
  <c r="AA23" i="8"/>
  <c r="G24" i="8"/>
  <c r="AE23" i="8"/>
  <c r="V23" i="8"/>
  <c r="U23" i="8"/>
  <c r="Y23" i="8"/>
  <c r="F24" i="8"/>
  <c r="F23" i="8"/>
  <c r="AD23" i="8"/>
  <c r="C29" i="6"/>
  <c r="O29" i="5"/>
  <c r="D29" i="8"/>
  <c r="O16" i="5"/>
  <c r="C16" i="6"/>
  <c r="AO24" i="12"/>
  <c r="AO23" i="12"/>
  <c r="Y25" i="12"/>
  <c r="D26" i="12"/>
  <c r="E26" i="6"/>
  <c r="Y26" i="12"/>
  <c r="X26" i="8"/>
  <c r="F26" i="8"/>
  <c r="U26" i="8"/>
  <c r="AD26" i="8"/>
  <c r="Y26" i="8"/>
  <c r="AB26" i="8"/>
  <c r="AB23" i="8" s="1"/>
  <c r="AE26" i="8"/>
  <c r="Z26" i="8"/>
  <c r="W26" i="8"/>
  <c r="G27" i="8"/>
  <c r="F27" i="8"/>
  <c r="AC26" i="8"/>
  <c r="V26" i="8"/>
  <c r="AA26" i="8"/>
  <c r="N22" i="12"/>
  <c r="O21" i="12"/>
  <c r="N21" i="12" s="1"/>
  <c r="E18" i="6"/>
  <c r="D18" i="12"/>
  <c r="O16" i="12"/>
  <c r="N18" i="12"/>
  <c r="O17" i="12"/>
  <c r="Y20" i="12"/>
  <c r="AO19" i="12"/>
  <c r="F14" i="7"/>
  <c r="F19" i="7"/>
  <c r="Q15" i="6"/>
  <c r="F16" i="7"/>
  <c r="F18" i="7"/>
  <c r="F17" i="7"/>
  <c r="Y30" i="12"/>
  <c r="AO29" i="12"/>
  <c r="Y29" i="12" s="1"/>
  <c r="U26" i="10"/>
  <c r="U25" i="10" s="1"/>
  <c r="U27" i="10"/>
  <c r="Y26" i="10"/>
  <c r="Y25" i="10" s="1"/>
  <c r="Y27" i="10"/>
  <c r="AA26" i="10"/>
  <c r="AA25" i="10" s="1"/>
  <c r="AA27" i="10"/>
  <c r="AA24" i="5"/>
  <c r="AA23" i="5"/>
  <c r="B26" i="8" s="1"/>
  <c r="X28" i="12"/>
  <c r="W28" i="12"/>
  <c r="J21" i="12"/>
  <c r="C21" i="12"/>
  <c r="L21" i="12"/>
  <c r="K21" i="12" s="1"/>
  <c r="T29" i="8"/>
  <c r="F30" i="8"/>
  <c r="G30" i="8"/>
  <c r="AE29" i="8"/>
  <c r="AD29" i="8"/>
  <c r="V29" i="8"/>
  <c r="AB29" i="8"/>
  <c r="Z29" i="8"/>
  <c r="G29" i="8" s="1"/>
  <c r="I30" i="8" s="1"/>
  <c r="AA29" i="8"/>
  <c r="F29" i="8"/>
  <c r="W29" i="8"/>
  <c r="X29" i="8"/>
  <c r="AC29" i="8"/>
  <c r="U29" i="8"/>
  <c r="Y29" i="8"/>
  <c r="J24" i="12"/>
  <c r="C24" i="12"/>
  <c r="L24" i="12"/>
  <c r="G18" i="8"/>
  <c r="U16" i="8"/>
  <c r="U14" i="8" s="1"/>
  <c r="AA16" i="8"/>
  <c r="AA14" i="8" s="1"/>
  <c r="AE16" i="8"/>
  <c r="AE14" i="8" s="1"/>
  <c r="Y16" i="8"/>
  <c r="Y14" i="8" s="1"/>
  <c r="Z16" i="8"/>
  <c r="Z14" i="8" s="1"/>
  <c r="W16" i="8"/>
  <c r="W14" i="8" s="1"/>
  <c r="D16" i="8"/>
  <c r="F18" i="8"/>
  <c r="T16" i="8"/>
  <c r="AB16" i="8"/>
  <c r="AB14" i="8" s="1"/>
  <c r="X16" i="8"/>
  <c r="X14" i="8" s="1"/>
  <c r="F17" i="8"/>
  <c r="V16" i="8"/>
  <c r="V14" i="8" s="1"/>
  <c r="AC16" i="8"/>
  <c r="AC14" i="8" s="1"/>
  <c r="AD16" i="8"/>
  <c r="AD14" i="8" s="1"/>
  <c r="L17" i="12"/>
  <c r="C17" i="12"/>
  <c r="J17" i="12"/>
  <c r="N25" i="12"/>
  <c r="O23" i="12"/>
  <c r="O24" i="12"/>
  <c r="N24" i="12" s="1"/>
  <c r="O23" i="5"/>
  <c r="C23" i="6"/>
  <c r="E22" i="6"/>
  <c r="D22" i="12"/>
  <c r="X27" i="12"/>
  <c r="W27" i="12"/>
  <c r="D25" i="12"/>
  <c r="E25" i="6"/>
  <c r="T20" i="8"/>
  <c r="N31" i="12"/>
  <c r="AE27" i="10"/>
  <c r="AE26" i="10"/>
  <c r="AE25" i="10" s="1"/>
  <c r="O27" i="10"/>
  <c r="O26" i="10"/>
  <c r="O25" i="10" s="1"/>
  <c r="K27" i="10"/>
  <c r="K26" i="10"/>
  <c r="K25" i="10" s="1"/>
  <c r="AC26" i="10"/>
  <c r="AC25" i="10" s="1"/>
  <c r="AC27" i="10"/>
  <c r="AB23" i="5"/>
  <c r="C26" i="8" s="1"/>
  <c r="AB24" i="5"/>
  <c r="D28" i="12"/>
  <c r="E28" i="6"/>
  <c r="O21" i="5"/>
  <c r="C21" i="6"/>
  <c r="B23" i="8"/>
  <c r="AC11" i="5"/>
  <c r="Q33" i="8"/>
  <c r="H33" i="8" s="1"/>
  <c r="F14" i="8"/>
  <c r="F15" i="8"/>
  <c r="G14" i="8"/>
  <c r="I15" i="8" s="1"/>
  <c r="G15" i="8"/>
  <c r="D42" i="8"/>
  <c r="O17" i="5"/>
  <c r="C17" i="6"/>
  <c r="D20" i="12"/>
  <c r="E20" i="6"/>
  <c r="M23" i="12"/>
  <c r="M24" i="12"/>
  <c r="L23" i="12"/>
  <c r="C23" i="12"/>
  <c r="J23" i="12"/>
  <c r="D30" i="12"/>
  <c r="E30" i="6"/>
  <c r="M17" i="12"/>
  <c r="M16" i="12"/>
  <c r="O19" i="12"/>
  <c r="N19" i="12" s="1"/>
  <c r="N20" i="12"/>
  <c r="D20" i="8"/>
  <c r="K16" i="12" l="1"/>
  <c r="E17" i="6"/>
  <c r="D17" i="12"/>
  <c r="H17" i="8"/>
  <c r="D23" i="12"/>
  <c r="E23" i="6"/>
  <c r="H26" i="8"/>
  <c r="U28" i="12"/>
  <c r="T28" i="12"/>
  <c r="V28" i="12"/>
  <c r="A17" i="9"/>
  <c r="A17" i="10"/>
  <c r="A19" i="10"/>
  <c r="A19" i="9"/>
  <c r="N17" i="12"/>
  <c r="X25" i="12"/>
  <c r="W25" i="12"/>
  <c r="E16" i="6"/>
  <c r="D16" i="12"/>
  <c r="H14" i="8"/>
  <c r="AE12" i="13"/>
  <c r="AD12" i="13"/>
  <c r="AC12" i="13"/>
  <c r="AH12" i="13"/>
  <c r="AF12" i="13"/>
  <c r="AG12" i="13"/>
  <c r="AE14" i="13"/>
  <c r="M14" i="13" s="1"/>
  <c r="M19" i="13" s="1"/>
  <c r="AH14" i="13"/>
  <c r="O14" i="13" s="1"/>
  <c r="U31" i="12"/>
  <c r="V31" i="12"/>
  <c r="T31" i="12"/>
  <c r="Y16" i="12"/>
  <c r="AF14" i="13"/>
  <c r="T14" i="13" s="1"/>
  <c r="AD3" i="13" s="1"/>
  <c r="AC14" i="13"/>
  <c r="R14" i="13" s="1"/>
  <c r="M17" i="13" s="1"/>
  <c r="AA14" i="11"/>
  <c r="D38" i="8"/>
  <c r="D37" i="8"/>
  <c r="D33" i="8" s="1"/>
  <c r="T42" i="8"/>
  <c r="T14" i="8"/>
  <c r="T41" i="8" a="1"/>
  <c r="T41" i="8" s="1"/>
  <c r="T40" i="8" a="1"/>
  <c r="T40" i="8" s="1"/>
  <c r="A18" i="9"/>
  <c r="A18" i="10"/>
  <c r="X26" i="12"/>
  <c r="W26" i="12"/>
  <c r="Y23" i="12"/>
  <c r="Y17" i="12"/>
  <c r="D14" i="13"/>
  <c r="V14" i="13"/>
  <c r="L19" i="13"/>
  <c r="D21" i="12"/>
  <c r="E21" i="6"/>
  <c r="H23" i="8"/>
  <c r="N23" i="12"/>
  <c r="K17" i="12"/>
  <c r="W29" i="12"/>
  <c r="X29" i="12"/>
  <c r="A16" i="10"/>
  <c r="A16" i="9"/>
  <c r="Y19" i="12"/>
  <c r="N16" i="12"/>
  <c r="Y24" i="12"/>
  <c r="H29" i="8"/>
  <c r="E29" i="6"/>
  <c r="D29" i="12"/>
  <c r="K19" i="12"/>
  <c r="AB14" i="11"/>
  <c r="AG14" i="13"/>
  <c r="U14" i="13" s="1"/>
  <c r="AD4" i="13" s="1"/>
  <c r="AD14" i="13"/>
  <c r="S14" i="13" s="1"/>
  <c r="M18" i="13" s="1"/>
  <c r="X22" i="12"/>
  <c r="W22" i="12"/>
  <c r="O16" i="11"/>
  <c r="AA7" i="11"/>
  <c r="D24" i="12"/>
  <c r="E24" i="6"/>
  <c r="E19" i="6"/>
  <c r="D19" i="12"/>
  <c r="H20" i="8"/>
  <c r="K23" i="12"/>
  <c r="T27" i="12"/>
  <c r="V27" i="12"/>
  <c r="U27" i="12"/>
  <c r="D14" i="8"/>
  <c r="D41" i="8" a="1"/>
  <c r="D41" i="8" s="1"/>
  <c r="D36" i="8" s="1"/>
  <c r="D40" i="8" a="1"/>
  <c r="D40" i="8" s="1"/>
  <c r="D35" i="8" s="1"/>
  <c r="K24" i="12"/>
  <c r="X30" i="12"/>
  <c r="W30" i="12"/>
  <c r="W20" i="12"/>
  <c r="X20" i="12"/>
  <c r="X18" i="12"/>
  <c r="W18" i="12"/>
  <c r="Y21" i="12"/>
  <c r="V25" i="12" l="1"/>
  <c r="U25" i="12"/>
  <c r="T25" i="12"/>
  <c r="I13" i="14"/>
  <c r="J13" i="14" s="1"/>
  <c r="K13" i="14" s="1"/>
  <c r="L13" i="14" s="1"/>
  <c r="I42" i="14"/>
  <c r="J42" i="14" s="1"/>
  <c r="K42" i="14" s="1"/>
  <c r="L42" i="14" s="1"/>
  <c r="I20" i="14"/>
  <c r="J20" i="14" s="1"/>
  <c r="K20" i="14" s="1"/>
  <c r="L20" i="14" s="1"/>
  <c r="I15" i="14"/>
  <c r="J15" i="14" s="1"/>
  <c r="K15" i="14" s="1"/>
  <c r="L15" i="14" s="1"/>
  <c r="I36" i="14"/>
  <c r="J36" i="14" s="1"/>
  <c r="K36" i="14" s="1"/>
  <c r="L36" i="14" s="1"/>
  <c r="I24" i="14"/>
  <c r="J24" i="14" s="1"/>
  <c r="K24" i="14" s="1"/>
  <c r="L24" i="14" s="1"/>
  <c r="I11" i="14"/>
  <c r="J11" i="14" s="1"/>
  <c r="K11" i="14" s="1"/>
  <c r="L11" i="14" s="1"/>
  <c r="I39" i="14"/>
  <c r="J39" i="14" s="1"/>
  <c r="K39" i="14" s="1"/>
  <c r="L39" i="14" s="1"/>
  <c r="I37" i="14"/>
  <c r="J37" i="14" s="1"/>
  <c r="K37" i="14" s="1"/>
  <c r="L37" i="14" s="1"/>
  <c r="I30" i="14"/>
  <c r="J30" i="14" s="1"/>
  <c r="K30" i="14" s="1"/>
  <c r="L30" i="14" s="1"/>
  <c r="I12" i="14"/>
  <c r="J12" i="14" s="1"/>
  <c r="K12" i="14" s="1"/>
  <c r="L12" i="14" s="1"/>
  <c r="I29" i="14"/>
  <c r="J29" i="14" s="1"/>
  <c r="K29" i="14" s="1"/>
  <c r="L29" i="14" s="1"/>
  <c r="I32" i="14"/>
  <c r="J32" i="14" s="1"/>
  <c r="K32" i="14" s="1"/>
  <c r="L32" i="14" s="1"/>
  <c r="I23" i="14"/>
  <c r="J23" i="14" s="1"/>
  <c r="K23" i="14" s="1"/>
  <c r="L23" i="14" s="1"/>
  <c r="I43" i="14"/>
  <c r="J43" i="14" s="1"/>
  <c r="K43" i="14" s="1"/>
  <c r="L43" i="14" s="1"/>
  <c r="I33" i="14"/>
  <c r="J33" i="14" s="1"/>
  <c r="K33" i="14" s="1"/>
  <c r="L33" i="14" s="1"/>
  <c r="I46" i="14"/>
  <c r="J46" i="14" s="1"/>
  <c r="K46" i="14" s="1"/>
  <c r="L46" i="14" s="1"/>
  <c r="I31" i="14"/>
  <c r="J31" i="14" s="1"/>
  <c r="K31" i="14" s="1"/>
  <c r="L31" i="14" s="1"/>
  <c r="I45" i="14"/>
  <c r="J45" i="14" s="1"/>
  <c r="K45" i="14" s="1"/>
  <c r="L45" i="14" s="1"/>
  <c r="I8" i="14"/>
  <c r="J8" i="14" s="1"/>
  <c r="K8" i="14" s="1"/>
  <c r="L8" i="14" s="1"/>
  <c r="I16" i="14"/>
  <c r="J16" i="14" s="1"/>
  <c r="K16" i="14" s="1"/>
  <c r="L16" i="14" s="1"/>
  <c r="I44" i="14"/>
  <c r="J44" i="14" s="1"/>
  <c r="K44" i="14" s="1"/>
  <c r="L44" i="14" s="1"/>
  <c r="I28" i="14"/>
  <c r="J28" i="14" s="1"/>
  <c r="K28" i="14" s="1"/>
  <c r="L28" i="14" s="1"/>
  <c r="I6" i="14"/>
  <c r="J6" i="14" s="1"/>
  <c r="K6" i="14" s="1"/>
  <c r="L6" i="14" s="1"/>
  <c r="I7" i="14"/>
  <c r="J7" i="14" s="1"/>
  <c r="K7" i="14" s="1"/>
  <c r="L7" i="14" s="1"/>
  <c r="I14" i="14"/>
  <c r="J14" i="14" s="1"/>
  <c r="K14" i="14" s="1"/>
  <c r="L14" i="14" s="1"/>
  <c r="I34" i="14"/>
  <c r="J34" i="14" s="1"/>
  <c r="K34" i="14" s="1"/>
  <c r="L34" i="14" s="1"/>
  <c r="I40" i="14"/>
  <c r="J40" i="14" s="1"/>
  <c r="K40" i="14" s="1"/>
  <c r="L40" i="14" s="1"/>
  <c r="I10" i="14"/>
  <c r="J10" i="14" s="1"/>
  <c r="K10" i="14" s="1"/>
  <c r="L10" i="14" s="1"/>
  <c r="I22" i="14"/>
  <c r="J22" i="14" s="1"/>
  <c r="K22" i="14" s="1"/>
  <c r="L22" i="14" s="1"/>
  <c r="I17" i="14"/>
  <c r="J17" i="14" s="1"/>
  <c r="K17" i="14" s="1"/>
  <c r="L17" i="14" s="1"/>
  <c r="I27" i="14"/>
  <c r="J27" i="14" s="1"/>
  <c r="K27" i="14" s="1"/>
  <c r="L27" i="14" s="1"/>
  <c r="I19" i="14"/>
  <c r="J19" i="14" s="1"/>
  <c r="K19" i="14" s="1"/>
  <c r="L19" i="14" s="1"/>
  <c r="I41" i="14"/>
  <c r="J41" i="14" s="1"/>
  <c r="K41" i="14" s="1"/>
  <c r="L41" i="14" s="1"/>
  <c r="I18" i="14"/>
  <c r="J18" i="14" s="1"/>
  <c r="K18" i="14" s="1"/>
  <c r="L18" i="14" s="1"/>
  <c r="I9" i="14"/>
  <c r="J9" i="14" s="1"/>
  <c r="K9" i="14" s="1"/>
  <c r="L9" i="14" s="1"/>
  <c r="I38" i="14"/>
  <c r="J38" i="14" s="1"/>
  <c r="K38" i="14" s="1"/>
  <c r="L38" i="14" s="1"/>
  <c r="I26" i="14"/>
  <c r="J26" i="14" s="1"/>
  <c r="K26" i="14" s="1"/>
  <c r="L26" i="14" s="1"/>
  <c r="I21" i="14"/>
  <c r="J21" i="14" s="1"/>
  <c r="K21" i="14" s="1"/>
  <c r="L21" i="14" s="1"/>
  <c r="I35" i="14"/>
  <c r="J35" i="14" s="1"/>
  <c r="K35" i="14" s="1"/>
  <c r="L35" i="14" s="1"/>
  <c r="I25" i="14"/>
  <c r="J25" i="14" s="1"/>
  <c r="K25" i="14" s="1"/>
  <c r="L25" i="14" s="1"/>
  <c r="U26" i="12"/>
  <c r="T26" i="12"/>
  <c r="V26" i="12"/>
  <c r="U40" i="8" a="1"/>
  <c r="U40" i="8" s="1"/>
  <c r="T35" i="8"/>
  <c r="D39" i="8"/>
  <c r="D34" i="8" s="1"/>
  <c r="X19" i="12"/>
  <c r="W19" i="12"/>
  <c r="U29" i="12"/>
  <c r="T29" i="12"/>
  <c r="V29" i="12"/>
  <c r="U41" i="8" a="1"/>
  <c r="U41" i="8" s="1"/>
  <c r="T36" i="8"/>
  <c r="U22" i="12"/>
  <c r="T22" i="12"/>
  <c r="V22" i="12"/>
  <c r="AB15" i="11"/>
  <c r="AB7" i="11" s="1"/>
  <c r="Z3" i="11" s="1"/>
  <c r="AA3" i="11" s="1"/>
  <c r="N14" i="11"/>
  <c r="N15" i="11" s="1"/>
  <c r="W17" i="12"/>
  <c r="X17" i="12"/>
  <c r="X16" i="12"/>
  <c r="W16" i="12"/>
  <c r="P14" i="13"/>
  <c r="N14" i="13"/>
  <c r="O19" i="13"/>
  <c r="X21" i="12"/>
  <c r="W21" i="12"/>
  <c r="V20" i="12"/>
  <c r="U20" i="12"/>
  <c r="T20" i="12"/>
  <c r="X24" i="12"/>
  <c r="W24" i="12"/>
  <c r="D33" i="14"/>
  <c r="L15" i="13"/>
  <c r="X23" i="12"/>
  <c r="W23" i="12"/>
  <c r="U42" i="8"/>
  <c r="T38" i="8"/>
  <c r="T37" i="8"/>
  <c r="T33" i="8" s="1"/>
  <c r="T39" i="8"/>
  <c r="T34" i="8" s="1"/>
  <c r="AA15" i="11"/>
  <c r="Z14" i="11"/>
  <c r="Z15" i="11" s="1"/>
  <c r="O20" i="13"/>
  <c r="M15" i="13"/>
  <c r="M16" i="13"/>
  <c r="V18" i="12"/>
  <c r="T18" i="12"/>
  <c r="U18" i="12"/>
  <c r="T30" i="12"/>
  <c r="U30" i="12"/>
  <c r="V30" i="12"/>
  <c r="T21" i="12" l="1"/>
  <c r="U21" i="12"/>
  <c r="V21" i="12"/>
  <c r="T17" i="12"/>
  <c r="V17" i="12"/>
  <c r="U17" i="12"/>
  <c r="U23" i="12"/>
  <c r="V23" i="12"/>
  <c r="T23" i="12"/>
  <c r="V24" i="12"/>
  <c r="T24" i="12"/>
  <c r="U24" i="12"/>
  <c r="T16" i="12"/>
  <c r="U16" i="12"/>
  <c r="V16" i="12"/>
  <c r="L18" i="13"/>
  <c r="D32" i="14" s="1"/>
  <c r="N16" i="11"/>
  <c r="U37" i="8"/>
  <c r="U33" i="8" s="1"/>
  <c r="V42" i="8"/>
  <c r="U38" i="8"/>
  <c r="U39" i="8"/>
  <c r="U34" i="8" s="1"/>
  <c r="O15" i="13"/>
  <c r="N19" i="13"/>
  <c r="P15" i="13"/>
  <c r="F34" i="14" s="1"/>
  <c r="F33" i="14"/>
  <c r="AD6" i="13"/>
  <c r="AD18" i="13"/>
  <c r="AC18" i="13"/>
  <c r="AE4" i="13"/>
  <c r="O18" i="13" s="1"/>
  <c r="AE3" i="13"/>
  <c r="O17" i="13" s="1"/>
  <c r="O16" i="13"/>
  <c r="AC17" i="13"/>
  <c r="AD17" i="13"/>
  <c r="AD14" i="11"/>
  <c r="AD12" i="11"/>
  <c r="V41" i="8" a="1"/>
  <c r="V41" i="8" s="1"/>
  <c r="U36" i="8"/>
  <c r="U19" i="12"/>
  <c r="V19" i="12"/>
  <c r="T19" i="12"/>
  <c r="V40" i="8" a="1"/>
  <c r="V40" i="8" s="1"/>
  <c r="U35" i="8"/>
  <c r="W41" i="8" l="1" a="1"/>
  <c r="W41" i="8" s="1"/>
  <c r="V36" i="8"/>
  <c r="F30" i="14"/>
  <c r="N16" i="13"/>
  <c r="E30" i="14" s="1"/>
  <c r="V37" i="8"/>
  <c r="V33" i="8" s="1"/>
  <c r="W42" i="8"/>
  <c r="V38" i="8"/>
  <c r="V39" i="8"/>
  <c r="V34" i="8" s="1"/>
  <c r="E34" i="14"/>
  <c r="E33" i="14"/>
  <c r="N15" i="13"/>
  <c r="AE12" i="11"/>
  <c r="M12" i="11" s="1"/>
  <c r="L12" i="11" s="1"/>
  <c r="AE14" i="11"/>
  <c r="M14" i="11" s="1"/>
  <c r="F31" i="14"/>
  <c r="N17" i="13"/>
  <c r="E31" i="14" s="1"/>
  <c r="AE6" i="13"/>
  <c r="AE2" i="13" s="1"/>
  <c r="AD2" i="13"/>
  <c r="V35" i="8"/>
  <c r="W40" i="8" a="1"/>
  <c r="W40" i="8" s="1"/>
  <c r="F32" i="14"/>
  <c r="N18" i="13"/>
  <c r="E32" i="14" s="1"/>
  <c r="W35" i="8" l="1"/>
  <c r="X40" i="8" a="1"/>
  <c r="X40" i="8" s="1"/>
  <c r="X42" i="8"/>
  <c r="W38" i="8"/>
  <c r="W37" i="8"/>
  <c r="W33" i="8" s="1"/>
  <c r="W39" i="8"/>
  <c r="W34" i="8" s="1"/>
  <c r="M15" i="11"/>
  <c r="L14" i="11"/>
  <c r="L15" i="11" s="1"/>
  <c r="X41" i="8" a="1"/>
  <c r="X41" i="8" s="1"/>
  <c r="W36" i="8"/>
  <c r="M16" i="11" l="1"/>
  <c r="L17" i="13"/>
  <c r="D31" i="14" s="1"/>
  <c r="M10" i="11"/>
  <c r="N10" i="13" s="1"/>
  <c r="L10" i="11"/>
  <c r="M10" i="13" s="1"/>
  <c r="L16" i="13"/>
  <c r="D30" i="14" s="1"/>
  <c r="L16" i="11"/>
  <c r="X38" i="8"/>
  <c r="X37" i="8"/>
  <c r="X33" i="8" s="1"/>
  <c r="Y42" i="8"/>
  <c r="X39" i="8"/>
  <c r="X34" i="8" s="1"/>
  <c r="Y40" i="8" a="1"/>
  <c r="Y40" i="8" s="1"/>
  <c r="X35" i="8"/>
  <c r="X36" i="8"/>
  <c r="Y41" i="8" a="1"/>
  <c r="Y41" i="8" s="1"/>
  <c r="Z40" i="8" l="1" a="1"/>
  <c r="Z40" i="8" s="1"/>
  <c r="Y35" i="8"/>
  <c r="Z41" i="8" a="1"/>
  <c r="Z41" i="8" s="1"/>
  <c r="Y36" i="8"/>
  <c r="Y37" i="8"/>
  <c r="Y33" i="8" s="1"/>
  <c r="Y38" i="8"/>
  <c r="J10" i="13" s="1"/>
  <c r="G10" i="13" s="1"/>
  <c r="Z42" i="8"/>
  <c r="Y39" i="8"/>
  <c r="Y34" i="8" s="1"/>
  <c r="G9" i="11"/>
  <c r="Z36" i="8" l="1"/>
  <c r="AA41" i="8" a="1"/>
  <c r="AA41" i="8" s="1"/>
  <c r="AA42" i="8"/>
  <c r="Z37" i="8"/>
  <c r="Z33" i="8" s="1"/>
  <c r="Z38" i="8"/>
  <c r="Z39" i="8"/>
  <c r="Z34" i="8" s="1"/>
  <c r="Z35" i="8"/>
  <c r="AA40" i="8" a="1"/>
  <c r="AA40" i="8" s="1"/>
  <c r="AA35" i="8" l="1"/>
  <c r="AB40" i="8" a="1"/>
  <c r="AB40" i="8" s="1"/>
  <c r="AA37" i="8"/>
  <c r="AA33" i="8" s="1"/>
  <c r="AA38" i="8"/>
  <c r="AB42" i="8"/>
  <c r="AA39" i="8"/>
  <c r="AA34" i="8" s="1"/>
  <c r="AA36" i="8"/>
  <c r="AB41" i="8" a="1"/>
  <c r="AB41" i="8" s="1"/>
  <c r="AB36" i="8" l="1"/>
  <c r="AC41" i="8" a="1"/>
  <c r="AC41" i="8" s="1"/>
  <c r="AC40" i="8" a="1"/>
  <c r="AC40" i="8" s="1"/>
  <c r="AB35" i="8"/>
  <c r="AB38" i="8"/>
  <c r="AB37" i="8"/>
  <c r="AB33" i="8" s="1"/>
  <c r="AC42" i="8"/>
  <c r="AB39" i="8"/>
  <c r="AB34" i="8" s="1"/>
  <c r="AD42" i="8" l="1"/>
  <c r="AC38" i="8"/>
  <c r="AC37" i="8"/>
  <c r="AC33" i="8" s="1"/>
  <c r="AC39" i="8"/>
  <c r="AC34" i="8" s="1"/>
  <c r="AC36" i="8"/>
  <c r="AD41" i="8" a="1"/>
  <c r="AD41" i="8" s="1"/>
  <c r="AD40" i="8" a="1"/>
  <c r="AD40" i="8" s="1"/>
  <c r="AC35" i="8"/>
  <c r="AD35" i="8" l="1"/>
  <c r="AE40" i="8" a="1"/>
  <c r="AE40" i="8" s="1"/>
  <c r="AD36" i="8"/>
  <c r="AE41" i="8" a="1"/>
  <c r="AE41" i="8" s="1"/>
  <c r="AE36" i="8" s="1"/>
  <c r="AD37" i="8"/>
  <c r="AD33" i="8" s="1"/>
  <c r="AD38" i="8"/>
  <c r="AE42" i="8"/>
  <c r="AD39" i="8"/>
  <c r="AD34" i="8" s="1"/>
  <c r="AF42" i="8" l="1"/>
  <c r="AE37" i="8"/>
  <c r="AE33" i="8" s="1"/>
  <c r="J10" i="8"/>
  <c r="B9" i="9"/>
  <c r="AE38" i="8"/>
  <c r="AE39" i="8"/>
  <c r="AE35" i="8"/>
  <c r="AF40" i="8"/>
  <c r="AF39" i="8" l="1"/>
  <c r="AF41" i="8" s="1"/>
  <c r="AE34" i="8"/>
</calcChain>
</file>

<file path=xl/comments1.xml><?xml version="1.0" encoding="utf-8"?>
<comments xmlns="http://schemas.openxmlformats.org/spreadsheetml/2006/main">
  <authors>
    <author/>
  </authors>
  <commentList>
    <comment ref="F40" authorId="0" shapeId="0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6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J7" authorId="0" shapeId="0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5" authorId="0" shapeId="0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16" authorId="0" shapeId="0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sharedStrings.xml><?xml version="1.0" encoding="utf-8"?>
<sst xmlns="http://schemas.openxmlformats.org/spreadsheetml/2006/main" count="1162" uniqueCount="493">
  <si>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</si>
  <si>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</si>
  <si>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</si>
  <si>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</si>
  <si>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</si>
  <si>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</si>
  <si>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</si>
  <si>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</si>
  <si>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</si>
  <si>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</si>
  <si>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</si>
  <si>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</si>
  <si>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</si>
  <si>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</si>
  <si>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</si>
  <si>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</si>
  <si>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</si>
  <si>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</si>
  <si>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</si>
  <si>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</si>
  <si>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</si>
  <si>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</si>
  <si>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</si>
  <si>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</si>
  <si>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</si>
  <si>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</si>
  <si>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</si>
  <si>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</si>
  <si>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</si>
  <si>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</si>
  <si>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</si>
  <si>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</si>
  <si>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</si>
  <si>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</si>
  <si>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</si>
  <si>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</si>
  <si>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</si>
  <si>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</si>
  <si>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</si>
  <si>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</si>
  <si>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</si>
  <si>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</si>
  <si>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</si>
  <si>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</si>
  <si>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</si>
  <si>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</si>
  <si>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</si>
  <si>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</si>
  <si>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</si>
  <si>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</si>
  <si>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</si>
  <si>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</si>
  <si>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</si>
  <si>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</si>
  <si>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</si>
  <si>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</si>
  <si>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</si>
  <si>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</si>
  <si>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</si>
  <si>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</si>
  <si>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</si>
  <si>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</si>
  <si>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</si>
  <si>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</si>
  <si>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</si>
  <si>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</si>
  <si>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</si>
  <si>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</si>
  <si>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</si>
  <si>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</si>
  <si>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</si>
  <si>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</si>
  <si>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</si>
  <si>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</si>
  <si>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</si>
  <si>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</si>
  <si>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</si>
  <si>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</si>
  <si>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</si>
  <si>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</si>
  <si>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</si>
  <si>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</si>
  <si>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</si>
  <si>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</si>
  <si>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</si>
  <si>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</si>
  <si>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Nº do SICONV (000000):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</si>
  <si>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</si>
  <si>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</si>
  <si>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</si>
  <si>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</si>
  <si>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</si>
  <si>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</si>
  <si>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</si>
  <si>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</si>
  <si>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</si>
  <si>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</si>
  <si>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</si>
  <si>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</si>
  <si>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</si>
  <si>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</si>
  <si>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</si>
  <si>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</si>
  <si>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</si>
  <si>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</si>
  <si>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</si>
  <si>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</si>
  <si>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</si>
  <si>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</si>
  <si>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</si>
  <si>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</si>
  <si>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</si>
  <si>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</si>
  <si>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</si>
  <si>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</si>
  <si>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</si>
  <si>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</si>
  <si>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</si>
  <si>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</si>
  <si>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</si>
  <si>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</si>
  <si>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</si>
  <si>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</si>
  <si>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</si>
  <si>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</si>
  <si>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</si>
  <si>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</si>
  <si>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</si>
  <si>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</si>
  <si>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</si>
  <si>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</si>
  <si>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</si>
  <si>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</si>
  <si>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</si>
  <si>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</si>
  <si>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</si>
  <si>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</si>
  <si>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</si>
  <si>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</si>
  <si>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</si>
  <si>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</si>
  <si>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</si>
  <si>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</si>
  <si>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</si>
  <si>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</si>
  <si>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</si>
  <si>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</si>
  <si>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</si>
  <si>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Nº SICONV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</si>
  <si>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</si>
  <si>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</si>
  <si>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</si>
  <si>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</si>
  <si>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</si>
  <si>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</si>
  <si>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</si>
  <si>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</si>
  <si>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</si>
  <si>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</si>
  <si>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</si>
  <si>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</si>
  <si>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</si>
  <si>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</si>
  <si>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</si>
  <si>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</si>
  <si>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</si>
  <si>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</si>
  <si>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</si>
  <si>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</si>
  <si>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</si>
  <si>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</si>
  <si>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</si>
  <si>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</si>
  <si>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</si>
  <si>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</si>
  <si>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</si>
  <si>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</si>
  <si>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</si>
  <si>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</si>
  <si>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</si>
  <si>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</si>
  <si>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</si>
  <si>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</si>
  <si>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</si>
  <si>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</si>
  <si>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</si>
  <si>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</si>
  <si>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</si>
  <si>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</si>
  <si>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</si>
  <si>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</si>
  <si>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</si>
  <si>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</si>
  <si>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</si>
  <si>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</si>
  <si>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</si>
  <si>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</si>
  <si>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</si>
  <si>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</si>
  <si>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</si>
  <si>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</si>
  <si>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</si>
  <si>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</si>
  <si>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</si>
  <si>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</si>
  <si>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</si>
  <si>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</si>
  <si>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</si>
  <si>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</si>
  <si>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</si>
  <si>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</si>
  <si>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</si>
  <si>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</si>
  <si>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</si>
  <si>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</si>
  <si>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</si>
  <si>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</si>
  <si>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</si>
  <si>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</si>
  <si>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</si>
  <si>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</si>
  <si>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</si>
  <si>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</si>
  <si>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</si>
  <si>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</si>
  <si>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</si>
  <si>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</si>
  <si>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</si>
  <si>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</si>
  <si>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</si>
  <si>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</si>
  <si>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</si>
  <si>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</si>
  <si>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</si>
  <si>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</si>
  <si>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</si>
  <si>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</si>
  <si>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</si>
  <si>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</si>
  <si>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</si>
  <si>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</si>
  <si>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</si>
  <si>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</si>
  <si>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</si>
  <si>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</si>
  <si>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</si>
  <si>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</si>
  <si>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</si>
  <si>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</si>
  <si>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</si>
  <si>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</si>
  <si>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</si>
  <si>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</si>
  <si>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</si>
  <si>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</si>
  <si>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</si>
  <si>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</si>
  <si>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</si>
  <si>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</si>
  <si>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</si>
  <si>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</si>
  <si>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</si>
  <si>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</si>
  <si>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</si>
  <si>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</si>
  <si>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</si>
  <si>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</si>
  <si>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</si>
  <si>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</si>
  <si>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</si>
  <si>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</si>
  <si>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</si>
  <si>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</si>
  <si>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</si>
  <si>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</si>
  <si>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</si>
  <si>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</si>
  <si>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</si>
  <si>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</si>
  <si>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</si>
  <si>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</si>
  <si>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</si>
  <si>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</si>
  <si>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</si>
  <si>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</si>
  <si>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</si>
  <si>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</si>
  <si>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</si>
  <si>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</si>
  <si>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</si>
  <si>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</si>
  <si>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</si>
  <si>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</si>
  <si>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</si>
  <si>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</si>
  <si>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</si>
  <si>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</si>
  <si>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</si>
  <si>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</si>
  <si>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</si>
  <si>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</si>
  <si>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</si>
  <si>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</si>
  <si>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</si>
  <si>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</si>
  <si>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</si>
  <si>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</si>
  <si>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</si>
  <si>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</si>
  <si>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</si>
  <si>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</si>
  <si>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</si>
  <si>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</si>
  <si>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</si>
  <si>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</si>
  <si>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</si>
  <si>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</si>
  <si>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</si>
  <si>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</si>
  <si>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</si>
  <si>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</si>
  <si>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</si>
  <si>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</si>
  <si>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</si>
  <si>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</si>
  <si>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</si>
  <si>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</si>
  <si>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</si>
  <si>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</si>
  <si>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</si>
  <si>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</si>
  <si>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</si>
  <si>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</si>
  <si>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</si>
  <si>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</si>
  <si>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</si>
  <si>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</si>
  <si>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</si>
  <si>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</si>
  <si>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</si>
  <si>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</si>
  <si>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</si>
  <si>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</si>
  <si>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</si>
  <si>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</si>
  <si>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</si>
  <si>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</si>
  <si>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</si>
  <si>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</si>
  <si>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</si>
  <si>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</si>
  <si>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</si>
  <si>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</si>
  <si>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</si>
  <si>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</si>
  <si>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</si>
  <si>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</si>
  <si>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</si>
  <si>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</si>
  <si>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</si>
  <si>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</si>
  <si>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</si>
  <si>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</si>
  <si>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</si>
  <si>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</si>
  <si>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</si>
  <si>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</si>
  <si>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</si>
  <si>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</si>
  <si>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</si>
  <si>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</si>
  <si>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</si>
  <si>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</si>
  <si>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</si>
  <si>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</si>
  <si>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</si>
  <si>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</si>
  <si>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</si>
  <si>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</si>
  <si>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</si>
  <si>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</si>
  <si>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</si>
  <si>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</si>
  <si>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</si>
  <si>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</si>
  <si>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</si>
  <si>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</si>
  <si>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</si>
  <si>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</si>
  <si>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</si>
  <si>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</si>
  <si>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</si>
  <si>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</si>
  <si>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</si>
  <si>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</si>
  <si>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</si>
  <si>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</si>
  <si>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</si>
  <si>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</si>
  <si>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</si>
  <si>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</si>
  <si>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</si>
  <si>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</si>
  <si>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</si>
  <si>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</si>
  <si>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</si>
  <si>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</si>
  <si>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</si>
  <si>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</si>
  <si>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</si>
  <si>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</si>
  <si>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</si>
  <si>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</si>
  <si>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</si>
  <si>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</si>
  <si>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</si>
  <si>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</si>
  <si>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</si>
  <si>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</si>
  <si>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</si>
  <si>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</si>
  <si>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</si>
  <si>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</si>
  <si>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</si>
  <si>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</si>
  <si>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</si>
  <si>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</si>
  <si>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</si>
  <si>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</si>
  <si>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</si>
  <si>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</si>
  <si>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</si>
  <si>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</si>
  <si>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</si>
  <si>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</si>
  <si>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</si>
  <si>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</si>
  <si>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</si>
  <si>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</si>
  <si>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v3.0.5</t>
  </si>
  <si>
    <t>100576</t>
  </si>
  <si>
    <t>95875</t>
  </si>
  <si>
    <t>93590</t>
  </si>
  <si>
    <t>SERVIÇOS PRELIMINARES</t>
  </si>
  <si>
    <t>PAVIMENTAÇÃO - PISTA</t>
  </si>
  <si>
    <t>NÃO DESONERADO</t>
  </si>
  <si>
    <t>Definir Manualmente</t>
  </si>
  <si>
    <t>Caçapava do Sul/RS</t>
  </si>
  <si>
    <t>Giovani Amestoy da Silva</t>
  </si>
  <si>
    <t>Prefeito Municipal</t>
  </si>
  <si>
    <t>Prefeitura Municipal de Caçapava do Sul</t>
  </si>
  <si>
    <t>Em Análise</t>
  </si>
  <si>
    <t>OGU</t>
  </si>
  <si>
    <t>EMPREITADA POR PREÇO GLOBAL</t>
  </si>
  <si>
    <t>Serviços Preliminares</t>
  </si>
  <si>
    <t>2.Serviços Preliminares</t>
  </si>
  <si>
    <t>3.Pavimentação de Vias</t>
  </si>
  <si>
    <t>020</t>
  </si>
  <si>
    <t>Lote Único - Empreitada Preço Global</t>
  </si>
  <si>
    <t>SINALIZAÇÃO VERTICAL</t>
  </si>
  <si>
    <t>007</t>
  </si>
  <si>
    <t>COMPOSIÇÃO</t>
  </si>
  <si>
    <t>Composição</t>
  </si>
  <si>
    <t>Em relação ao contrato de convênio para execução da Pavimentação de Via Urbana, informamos que a data base do orçamento é MAIO/2022e o regime para execução da obra será por Empreitada Global – licitação, nos termos do orçamento, projeto e memorial descritivo da licitação. OBS: O valor total de pavimentação da Rua João Batista Poglia é de 2.300,89 m² considerando o somatório da área da pista de rolamento com as áreas dos passeios.</t>
  </si>
  <si>
    <t>ÁREA DA PISTA = largura das pistas x comprimento pistas OU        Medir em planta no autocad.</t>
  </si>
  <si>
    <t>ADMINISTRAÇÃO LOCAL</t>
  </si>
  <si>
    <t>TERRAPLANAGEM</t>
  </si>
  <si>
    <t>103689</t>
  </si>
  <si>
    <t>1.Administração Local</t>
  </si>
  <si>
    <t>Encargos sociais sobre a mão de obra estão incluídos no custo dos serviços sem desoneração.
Horista: 112,88%
Mensalista: 69,79%</t>
  </si>
  <si>
    <t>PLACA DE OBRA - 3,60x1,80m</t>
  </si>
  <si>
    <t xml:space="preserve">Terraplanagem </t>
  </si>
  <si>
    <t>Pavimantação - Pista</t>
  </si>
  <si>
    <t xml:space="preserve">Sinalização Vertical </t>
  </si>
  <si>
    <t xml:space="preserve">3.Terraplanagem </t>
  </si>
  <si>
    <t>4.Pavimantação - Pista</t>
  </si>
  <si>
    <t xml:space="preserve">7.Sinalização Vertical </t>
  </si>
  <si>
    <t>Contagem em planta. TRECHO 01</t>
  </si>
  <si>
    <t>006</t>
  </si>
  <si>
    <t xml:space="preserve">Área total da via, medida em planta. </t>
  </si>
  <si>
    <t>Pavimentação da pista de rolamento com Paralelepípedo</t>
  </si>
  <si>
    <t>101167</t>
  </si>
  <si>
    <t>97914</t>
  </si>
  <si>
    <t>TRANSPORTE AREIA=consumo de areia por m³ (0,1313 m³) x área da pista X DMT 10km.</t>
  </si>
  <si>
    <t>TRANSPORTE PARALEPIPEDO= 35 X  area pista x volume do paralelepipedo (0,16*0,11*0,11)x  DMT de 30km (pq São Sepé é 45KM, coloco os 30km inciais depois o restante).</t>
  </si>
  <si>
    <t>TRANSPORTE  PARALEPIPEDO= 35 X  area pista x volume do paralelepipedo (0,16*0,11*0,11) x  DMT de 15km (pq São Sepé é 45KM, esses 15km é o restante que faltou).</t>
  </si>
  <si>
    <t>Calçamento da Rua Tomé Medeiros</t>
  </si>
  <si>
    <t>CALÇAMENTO RUA TOMÉ MEDEIROS</t>
  </si>
  <si>
    <t>Visitas Técnicas Semanais (1x4x2,50 = 10) - meses x semanas x horas</t>
  </si>
  <si>
    <t xml:space="preserve">TRECHO DE INTERVENÇÃO  </t>
  </si>
  <si>
    <t>Fernando Cesar Nubias Pereira</t>
  </si>
  <si>
    <t>RS A - 228673-4</t>
  </si>
  <si>
    <t>13882809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</si>
</sst>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7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12" xfId="0" applyBorder="1"/>
    <xf numFmtId="0" fontId="0" fillId="6" borderId="0" xfId="0" applyFill="1"/>
    <xf numFmtId="0" fontId="0" fillId="16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>
      <alignment horizontal="left"/>
    </xf>
    <xf numFmtId="0" fontId="2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vertical="center"/>
    </xf>
    <xf numFmtId="0" fontId="0" fillId="16" borderId="16" xfId="0" applyFill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49" fontId="0" fillId="6" borderId="18" xfId="0" applyNumberForma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49" fontId="0" fillId="6" borderId="20" xfId="0" applyNumberForma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Alignment="1">
      <alignment horizontal="left" vertical="center"/>
    </xf>
    <xf numFmtId="0" fontId="0" fillId="0" borderId="23" xfId="0" applyBorder="1" applyAlignment="1">
      <alignment vertical="center"/>
    </xf>
    <xf numFmtId="49" fontId="0" fillId="6" borderId="24" xfId="0" applyNumberFormat="1" applyFill="1" applyBorder="1" applyAlignment="1" applyProtection="1">
      <alignment vertical="center" wrapText="1"/>
      <protection locked="0"/>
    </xf>
    <xf numFmtId="49" fontId="0" fillId="6" borderId="25" xfId="0" applyNumberFormat="1" applyFill="1" applyBorder="1" applyAlignment="1" applyProtection="1">
      <alignment vertical="center" wrapText="1"/>
      <protection locked="0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4" fontId="0" fillId="0" borderId="0" xfId="0" applyNumberFormat="1" applyAlignment="1">
      <alignment vertical="center"/>
    </xf>
    <xf numFmtId="0" fontId="0" fillId="6" borderId="18" xfId="0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8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0" fillId="0" borderId="0" xfId="33" applyFont="1"/>
    <xf numFmtId="0" fontId="24" fillId="0" borderId="0" xfId="33" applyFont="1" applyAlignment="1">
      <alignment horizontal="center"/>
    </xf>
    <xf numFmtId="0" fontId="23" fillId="0" borderId="0" xfId="33" applyFont="1" applyAlignment="1">
      <alignment horizontal="center"/>
    </xf>
    <xf numFmtId="0" fontId="0" fillId="0" borderId="31" xfId="0" applyBorder="1" applyAlignment="1">
      <alignment horizontal="center"/>
    </xf>
    <xf numFmtId="0" fontId="24" fillId="0" borderId="32" xfId="33" applyFont="1" applyBorder="1" applyAlignment="1">
      <alignment horizontal="center"/>
    </xf>
    <xf numFmtId="10" fontId="29" fillId="0" borderId="32" xfId="33" applyNumberFormat="1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0" fillId="0" borderId="14" xfId="33" applyFont="1" applyBorder="1" applyAlignment="1">
      <alignment horizontal="left" vertical="top" wrapText="1"/>
    </xf>
    <xf numFmtId="0" fontId="24" fillId="0" borderId="0" xfId="33" applyFont="1"/>
    <xf numFmtId="0" fontId="24" fillId="0" borderId="32" xfId="33" applyFont="1" applyBorder="1" applyAlignment="1">
      <alignment horizontal="center" vertical="center" wrapText="1"/>
    </xf>
    <xf numFmtId="0" fontId="8" fillId="0" borderId="0" xfId="33" applyFont="1" applyAlignment="1">
      <alignment horizontal="left"/>
    </xf>
    <xf numFmtId="0" fontId="30" fillId="0" borderId="32" xfId="33" applyFont="1" applyBorder="1" applyAlignment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Border="1" applyAlignment="1">
      <alignment horizontal="center" vertical="center"/>
    </xf>
    <xf numFmtId="10" fontId="30" fillId="0" borderId="32" xfId="33" applyNumberFormat="1" applyFont="1" applyBorder="1" applyAlignment="1">
      <alignment horizontal="center" vertical="center" wrapText="1"/>
    </xf>
    <xf numFmtId="0" fontId="30" fillId="0" borderId="32" xfId="33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10" fontId="17" fillId="8" borderId="32" xfId="33" applyNumberFormat="1" applyFont="1" applyFill="1" applyBorder="1" applyAlignment="1">
      <alignment horizontal="center" vertical="center"/>
    </xf>
    <xf numFmtId="0" fontId="31" fillId="0" borderId="0" xfId="33" applyFont="1" applyAlignment="1">
      <alignment horizontal="right" vertical="center"/>
    </xf>
    <xf numFmtId="0" fontId="0" fillId="0" borderId="0" xfId="33" applyFont="1" applyAlignment="1">
      <alignment horizontal="center" vertical="top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top"/>
    </xf>
    <xf numFmtId="0" fontId="35" fillId="0" borderId="0" xfId="33" applyFont="1" applyAlignment="1">
      <alignment horizontal="center" vertical="top"/>
    </xf>
    <xf numFmtId="169" fontId="0" fillId="0" borderId="0" xfId="33" applyNumberFormat="1" applyFont="1"/>
    <xf numFmtId="0" fontId="24" fillId="0" borderId="10" xfId="33" applyFont="1" applyBorder="1" applyAlignment="1">
      <alignment horizontal="left"/>
    </xf>
    <xf numFmtId="0" fontId="0" fillId="0" borderId="10" xfId="33" applyFont="1" applyBorder="1"/>
    <xf numFmtId="0" fontId="30" fillId="0" borderId="0" xfId="33" applyFont="1"/>
    <xf numFmtId="0" fontId="24" fillId="0" borderId="0" xfId="35" applyFont="1" applyAlignment="1">
      <alignment horizontal="left" vertical="top"/>
    </xf>
    <xf numFmtId="0" fontId="0" fillId="0" borderId="0" xfId="33" applyFont="1" applyAlignment="1">
      <alignment vertical="top"/>
    </xf>
    <xf numFmtId="167" fontId="0" fillId="0" borderId="0" xfId="33" applyNumberFormat="1" applyFont="1"/>
    <xf numFmtId="167" fontId="0" fillId="0" borderId="0" xfId="33" applyNumberFormat="1" applyFont="1" applyAlignment="1">
      <alignment vertical="top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38" fillId="0" borderId="0" xfId="0" applyFont="1"/>
    <xf numFmtId="0" fontId="0" fillId="0" borderId="0" xfId="0" applyAlignment="1">
      <alignment wrapText="1"/>
    </xf>
    <xf numFmtId="10" fontId="0" fillId="0" borderId="0" xfId="0" applyNumberFormat="1"/>
    <xf numFmtId="0" fontId="24" fillId="0" borderId="31" xfId="35" applyFont="1" applyBorder="1" applyAlignment="1">
      <alignment vertical="top"/>
    </xf>
    <xf numFmtId="0" fontId="0" fillId="0" borderId="32" xfId="0" applyBorder="1"/>
    <xf numFmtId="0" fontId="0" fillId="0" borderId="32" xfId="0" applyBorder="1" applyProtection="1">
      <protection locked="0"/>
    </xf>
    <xf numFmtId="0" fontId="0" fillId="0" borderId="14" xfId="33" applyFont="1" applyBorder="1" applyAlignment="1">
      <alignment vertical="top" wrapText="1"/>
    </xf>
    <xf numFmtId="0" fontId="0" fillId="0" borderId="29" xfId="33" applyFont="1" applyBorder="1" applyAlignment="1">
      <alignment vertical="top" wrapText="1"/>
    </xf>
    <xf numFmtId="0" fontId="0" fillId="0" borderId="0" xfId="33" applyFont="1" applyAlignment="1">
      <alignment horizontal="left" vertical="top" wrapText="1"/>
    </xf>
    <xf numFmtId="0" fontId="0" fillId="0" borderId="10" xfId="33" applyFont="1" applyBorder="1" applyAlignment="1">
      <alignment horizontal="left" vertical="top" wrapText="1"/>
    </xf>
    <xf numFmtId="0" fontId="0" fillId="0" borderId="10" xfId="33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24" fillId="0" borderId="0" xfId="35" applyFont="1" applyAlignment="1">
      <alignment horizontal="center" vertical="top"/>
    </xf>
    <xf numFmtId="0" fontId="24" fillId="0" borderId="31" xfId="35" applyFont="1" applyBorder="1" applyAlignment="1">
      <alignment horizontal="center" vertical="top"/>
    </xf>
    <xf numFmtId="170" fontId="0" fillId="0" borderId="14" xfId="33" applyNumberFormat="1" applyFont="1" applyBorder="1" applyAlignment="1">
      <alignment vertical="top" shrinkToFit="1"/>
    </xf>
    <xf numFmtId="0" fontId="0" fillId="0" borderId="30" xfId="33" applyFont="1" applyBorder="1" applyAlignment="1">
      <alignment horizontal="center" vertical="top" wrapText="1"/>
    </xf>
    <xf numFmtId="0" fontId="0" fillId="0" borderId="14" xfId="33" applyFont="1" applyBorder="1" applyAlignment="1">
      <alignment horizontal="center" vertical="top" wrapText="1"/>
    </xf>
    <xf numFmtId="10" fontId="0" fillId="0" borderId="0" xfId="0" applyNumberFormat="1" applyAlignment="1">
      <alignment vertical="center" wrapText="1"/>
    </xf>
    <xf numFmtId="0" fontId="42" fillId="0" borderId="34" xfId="0" applyFont="1" applyBorder="1" applyAlignment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Font="1" applyFill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 shrinkToFit="1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left" vertical="center" wrapText="1"/>
      <protection locked="0"/>
    </xf>
    <xf numFmtId="0" fontId="0" fillId="6" borderId="40" xfId="0" applyFill="1" applyBorder="1" applyAlignment="1" applyProtection="1">
      <alignment horizontal="center" vertical="center" wrapText="1"/>
      <protection locked="0"/>
    </xf>
    <xf numFmtId="171" fontId="0" fillId="0" borderId="40" xfId="48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/>
    <xf numFmtId="0" fontId="0" fillId="0" borderId="44" xfId="0" applyBorder="1"/>
    <xf numFmtId="0" fontId="22" fillId="0" borderId="0" xfId="0" applyFont="1"/>
    <xf numFmtId="0" fontId="24" fillId="17" borderId="32" xfId="0" applyFont="1" applyFill="1" applyBorder="1" applyAlignment="1">
      <alignment horizontal="center" vertical="center"/>
    </xf>
    <xf numFmtId="49" fontId="24" fillId="17" borderId="45" xfId="0" applyNumberFormat="1" applyFont="1" applyFill="1" applyBorder="1" applyAlignment="1">
      <alignment horizontal="center" vertical="center"/>
    </xf>
    <xf numFmtId="171" fontId="24" fillId="17" borderId="45" xfId="48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Font="1" applyFill="1" applyBorder="1" applyAlignment="1" applyProtection="1">
      <alignment horizontal="center" vertical="center" shrinkToFit="1"/>
    </xf>
    <xf numFmtId="171" fontId="21" fillId="17" borderId="46" xfId="48" applyFont="1" applyFill="1" applyBorder="1" applyAlignment="1" applyProtection="1">
      <alignment horizontal="center" vertical="center" shrinkToFit="1"/>
    </xf>
    <xf numFmtId="0" fontId="0" fillId="4" borderId="13" xfId="0" applyFill="1" applyBorder="1"/>
    <xf numFmtId="0" fontId="0" fillId="4" borderId="46" xfId="0" applyFill="1" applyBorder="1"/>
    <xf numFmtId="0" fontId="30" fillId="0" borderId="0" xfId="0" applyFont="1"/>
    <xf numFmtId="0" fontId="30" fillId="0" borderId="33" xfId="0" applyFont="1" applyBorder="1" applyAlignment="1">
      <alignment horizontal="left" vertical="center"/>
    </xf>
    <xf numFmtId="0" fontId="30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17" fillId="0" borderId="30" xfId="33" applyFont="1" applyBorder="1" applyAlignment="1">
      <alignment vertical="center"/>
    </xf>
    <xf numFmtId="0" fontId="24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>
      <alignment vertical="top"/>
    </xf>
    <xf numFmtId="0" fontId="24" fillId="0" borderId="0" xfId="35" applyFont="1" applyAlignment="1">
      <alignment vertical="top"/>
    </xf>
    <xf numFmtId="0" fontId="24" fillId="0" borderId="12" xfId="35" applyFont="1" applyBorder="1" applyAlignment="1">
      <alignment vertical="top"/>
    </xf>
    <xf numFmtId="0" fontId="0" fillId="0" borderId="47" xfId="33" applyFont="1" applyBorder="1" applyAlignment="1">
      <alignment vertical="top"/>
    </xf>
    <xf numFmtId="0" fontId="0" fillId="0" borderId="30" xfId="33" applyFont="1" applyBorder="1" applyAlignment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0" borderId="37" xfId="0" applyBorder="1" applyAlignment="1">
      <alignment horizontal="center" textRotation="90" wrapText="1"/>
    </xf>
    <xf numFmtId="0" fontId="0" fillId="0" borderId="48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Font="1" applyFill="1" applyBorder="1" applyAlignment="1">
      <alignment horizontal="left" vertical="center"/>
    </xf>
    <xf numFmtId="0" fontId="24" fillId="14" borderId="32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right" vertical="center"/>
    </xf>
    <xf numFmtId="4" fontId="24" fillId="17" borderId="55" xfId="0" applyNumberFormat="1" applyFont="1" applyFill="1" applyBorder="1" applyAlignment="1">
      <alignment horizontal="right" vertical="center" shrinkToFit="1"/>
    </xf>
    <xf numFmtId="4" fontId="24" fillId="17" borderId="56" xfId="0" applyNumberFormat="1" applyFont="1" applyFill="1" applyBorder="1" applyAlignment="1">
      <alignment horizontal="right" vertical="center" shrinkToFit="1"/>
    </xf>
    <xf numFmtId="4" fontId="24" fillId="17" borderId="57" xfId="0" applyNumberFormat="1" applyFont="1" applyFill="1" applyBorder="1" applyAlignment="1">
      <alignment horizontal="right" vertical="center" shrinkToFit="1"/>
    </xf>
    <xf numFmtId="4" fontId="24" fillId="17" borderId="37" xfId="0" applyNumberFormat="1" applyFont="1" applyFill="1" applyBorder="1" applyAlignment="1">
      <alignment horizontal="right" vertical="center" shrinkToFit="1"/>
    </xf>
    <xf numFmtId="0" fontId="24" fillId="17" borderId="37" xfId="0" applyFont="1" applyFill="1" applyBorder="1" applyAlignment="1">
      <alignment horizontal="right" vertical="center" shrinkToFit="1"/>
    </xf>
    <xf numFmtId="0" fontId="0" fillId="18" borderId="13" xfId="0" applyFill="1" applyBorder="1"/>
    <xf numFmtId="0" fontId="0" fillId="4" borderId="45" xfId="0" applyFill="1" applyBorder="1"/>
    <xf numFmtId="167" fontId="0" fillId="0" borderId="30" xfId="0" applyNumberFormat="1" applyBorder="1"/>
    <xf numFmtId="0" fontId="0" fillId="0" borderId="30" xfId="0" applyBorder="1"/>
    <xf numFmtId="0" fontId="0" fillId="0" borderId="0" xfId="33" applyFont="1" applyAlignment="1">
      <alignment vertical="center"/>
    </xf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/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/>
    <xf numFmtId="0" fontId="24" fillId="8" borderId="77" xfId="0" applyFont="1" applyFill="1" applyBorder="1"/>
    <xf numFmtId="0" fontId="24" fillId="8" borderId="78" xfId="0" applyFont="1" applyFill="1" applyBorder="1"/>
    <xf numFmtId="0" fontId="0" fillId="18" borderId="40" xfId="0" applyFill="1" applyBorder="1" applyAlignment="1">
      <alignment horizontal="center"/>
    </xf>
    <xf numFmtId="0" fontId="0" fillId="18" borderId="40" xfId="0" applyFill="1" applyBorder="1"/>
    <xf numFmtId="0" fontId="0" fillId="8" borderId="79" xfId="0" applyFill="1" applyBorder="1"/>
    <xf numFmtId="0" fontId="0" fillId="8" borderId="80" xfId="0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0" fillId="0" borderId="0" xfId="33" applyFont="1" applyAlignment="1">
      <alignment horizontal="left" vertical="top"/>
    </xf>
    <xf numFmtId="0" fontId="23" fillId="0" borderId="0" xfId="0" applyFont="1" applyAlignment="1">
      <alignment horizontal="left" vertical="center" indent="2"/>
    </xf>
    <xf numFmtId="10" fontId="0" fillId="0" borderId="32" xfId="0" applyNumberFormat="1" applyBorder="1" applyAlignment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Border="1" applyAlignment="1">
      <alignment vertical="top" wrapText="1"/>
    </xf>
    <xf numFmtId="0" fontId="0" fillId="0" borderId="0" xfId="33" applyFont="1" applyAlignment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4" fontId="0" fillId="0" borderId="0" xfId="31" applyNumberFormat="1" applyFont="1" applyFill="1" applyBorder="1" applyAlignment="1" applyProtection="1">
      <alignment vertical="center"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Alignment="1">
      <alignment horizontal="center" vertical="top"/>
    </xf>
    <xf numFmtId="0" fontId="0" fillId="0" borderId="82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Border="1" applyAlignment="1">
      <alignment vertical="top" wrapText="1"/>
    </xf>
    <xf numFmtId="182" fontId="0" fillId="0" borderId="29" xfId="33" applyNumberFormat="1" applyFont="1" applyBorder="1" applyAlignment="1">
      <alignment horizontal="left" vertical="top" wrapText="1"/>
    </xf>
    <xf numFmtId="0" fontId="0" fillId="0" borderId="34" xfId="0" applyBorder="1"/>
    <xf numFmtId="0" fontId="0" fillId="0" borderId="31" xfId="0" applyBorder="1"/>
    <xf numFmtId="49" fontId="0" fillId="0" borderId="14" xfId="33" applyNumberFormat="1" applyFont="1" applyBorder="1" applyAlignment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>
      <alignment horizontal="center" vertical="center"/>
    </xf>
    <xf numFmtId="183" fontId="24" fillId="8" borderId="34" xfId="0" applyNumberFormat="1" applyFont="1" applyFill="1" applyBorder="1" applyAlignment="1">
      <alignment horizontal="center" vertical="center" wrapText="1"/>
    </xf>
    <xf numFmtId="171" fontId="0" fillId="0" borderId="38" xfId="48" applyFont="1" applyFill="1" applyBorder="1" applyAlignment="1" applyProtection="1">
      <alignment vertical="center" shrinkToFit="1"/>
    </xf>
    <xf numFmtId="171" fontId="0" fillId="0" borderId="69" xfId="48" applyFont="1" applyFill="1" applyBorder="1" applyAlignment="1" applyProtection="1">
      <alignment vertical="center" shrinkToFit="1"/>
    </xf>
    <xf numFmtId="171" fontId="0" fillId="0" borderId="39" xfId="48" applyFont="1" applyFill="1" applyBorder="1" applyAlignment="1" applyProtection="1">
      <alignment horizontal="center" vertical="center" shrinkToFit="1"/>
    </xf>
    <xf numFmtId="171" fontId="0" fillId="0" borderId="40" xfId="48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0" fontId="0" fillId="16" borderId="41" xfId="0" applyFill="1" applyBorder="1" applyAlignment="1">
      <alignment shrinkToFit="1"/>
    </xf>
    <xf numFmtId="171" fontId="24" fillId="17" borderId="14" xfId="48" applyFont="1" applyFill="1" applyBorder="1" applyAlignment="1" applyProtection="1">
      <alignment horizontal="center" vertical="center"/>
    </xf>
    <xf numFmtId="171" fontId="24" fillId="17" borderId="14" xfId="48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24" fillId="0" borderId="32" xfId="0" applyFont="1" applyBorder="1" applyAlignment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24" fillId="0" borderId="12" xfId="35" applyFont="1" applyBorder="1"/>
    <xf numFmtId="0" fontId="0" fillId="0" borderId="29" xfId="0" applyBorder="1" applyAlignment="1">
      <alignment shrinkToFit="1"/>
    </xf>
    <xf numFmtId="0" fontId="0" fillId="0" borderId="31" xfId="33" applyFont="1" applyBorder="1" applyAlignment="1">
      <alignment vertical="top" wrapText="1"/>
    </xf>
    <xf numFmtId="4" fontId="0" fillId="0" borderId="14" xfId="33" applyNumberFormat="1" applyFont="1" applyBorder="1" applyAlignment="1">
      <alignment horizontal="left" vertical="top" wrapText="1"/>
    </xf>
    <xf numFmtId="4" fontId="0" fillId="0" borderId="47" xfId="33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170" fontId="24" fillId="0" borderId="47" xfId="0" applyNumberFormat="1" applyFont="1" applyBorder="1" applyAlignment="1">
      <alignment horizontal="center"/>
    </xf>
    <xf numFmtId="10" fontId="24" fillId="0" borderId="29" xfId="0" applyNumberFormat="1" applyFont="1" applyBorder="1" applyAlignment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40" xfId="0" applyBorder="1" applyAlignment="1">
      <alignment horizontal="left" vertical="top"/>
    </xf>
    <xf numFmtId="49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69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33" xfId="0" applyFill="1" applyBorder="1"/>
    <xf numFmtId="0" fontId="0" fillId="18" borderId="0" xfId="0" applyFill="1" applyAlignment="1">
      <alignment horizontal="center"/>
    </xf>
    <xf numFmtId="0" fontId="0" fillId="18" borderId="12" xfId="0" applyFill="1" applyBorder="1" applyAlignment="1">
      <alignment horizontal="center"/>
    </xf>
    <xf numFmtId="0" fontId="21" fillId="0" borderId="0" xfId="0" applyFont="1"/>
    <xf numFmtId="178" fontId="0" fillId="8" borderId="42" xfId="0" applyNumberFormat="1" applyFill="1" applyBorder="1" applyAlignment="1">
      <alignment horizontal="center" vertical="center"/>
    </xf>
    <xf numFmtId="178" fontId="0" fillId="8" borderId="38" xfId="0" applyNumberFormat="1" applyFill="1" applyBorder="1" applyAlignment="1">
      <alignment horizontal="center" vertical="center"/>
    </xf>
    <xf numFmtId="178" fontId="0" fillId="8" borderId="79" xfId="0" applyNumberFormat="1" applyFill="1" applyBorder="1" applyAlignment="1">
      <alignment horizontal="center" vertical="center"/>
    </xf>
    <xf numFmtId="178" fontId="0" fillId="8" borderId="69" xfId="0" applyNumberFormat="1" applyFill="1" applyBorder="1" applyAlignment="1">
      <alignment horizontal="center" vertical="center"/>
    </xf>
    <xf numFmtId="0" fontId="0" fillId="18" borderId="84" xfId="0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Border="1" applyAlignment="1">
      <alignment horizontal="center" vertical="center"/>
    </xf>
    <xf numFmtId="178" fontId="0" fillId="0" borderId="59" xfId="0" applyNumberFormat="1" applyBorder="1" applyAlignment="1">
      <alignment horizontal="center" vertical="center"/>
    </xf>
    <xf numFmtId="178" fontId="0" fillId="0" borderId="60" xfId="0" applyNumberFormat="1" applyBorder="1" applyAlignment="1">
      <alignment horizontal="center" vertical="center"/>
    </xf>
    <xf numFmtId="178" fontId="0" fillId="0" borderId="61" xfId="0" applyNumberFormat="1" applyBorder="1" applyAlignment="1">
      <alignment horizontal="center" vertical="center"/>
    </xf>
    <xf numFmtId="0" fontId="0" fillId="18" borderId="87" xfId="0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178" fontId="0" fillId="0" borderId="0" xfId="0" applyNumberFormat="1"/>
    <xf numFmtId="0" fontId="17" fillId="0" borderId="0" xfId="33" applyFont="1" applyAlignment="1">
      <alignment vertical="center"/>
    </xf>
    <xf numFmtId="0" fontId="0" fillId="0" borderId="0" xfId="33" applyFont="1" applyAlignment="1">
      <alignment horizontal="left" vertical="center"/>
    </xf>
    <xf numFmtId="0" fontId="0" fillId="0" borderId="10" xfId="0" applyBorder="1" applyAlignment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Alignment="1">
      <alignment horizontal="left"/>
    </xf>
    <xf numFmtId="171" fontId="56" fillId="0" borderId="0" xfId="48" applyFill="1" applyBorder="1" applyAlignment="1" applyProtection="1"/>
    <xf numFmtId="0" fontId="0" fillId="0" borderId="0" xfId="33" applyFont="1" applyAlignment="1">
      <alignment horizontal="left"/>
    </xf>
    <xf numFmtId="0" fontId="0" fillId="6" borderId="0" xfId="33" applyFont="1" applyFill="1" applyAlignment="1" applyProtection="1">
      <alignment vertical="top"/>
      <protection locked="0"/>
    </xf>
    <xf numFmtId="0" fontId="24" fillId="0" borderId="0" xfId="33" applyFont="1" applyAlignment="1">
      <alignment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vertical="top" wrapText="1"/>
      <protection locked="0"/>
    </xf>
    <xf numFmtId="0" fontId="0" fillId="0" borderId="30" xfId="33" applyFont="1" applyBorder="1"/>
    <xf numFmtId="0" fontId="59" fillId="0" borderId="0" xfId="0" applyFont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ill="1"/>
    <xf numFmtId="0" fontId="0" fillId="3" borderId="0" xfId="0" applyFill="1" applyAlignment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Alignment="1">
      <alignment vertical="center"/>
    </xf>
    <xf numFmtId="0" fontId="0" fillId="0" borderId="93" xfId="0" applyBorder="1"/>
    <xf numFmtId="0" fontId="0" fillId="0" borderId="93" xfId="0" applyBorder="1" applyAlignment="1">
      <alignment vertical="center"/>
    </xf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Border="1"/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ill="1" applyBorder="1"/>
    <xf numFmtId="0" fontId="0" fillId="26" borderId="46" xfId="0" applyFill="1" applyBorder="1"/>
    <xf numFmtId="0" fontId="0" fillId="26" borderId="32" xfId="0" applyFill="1" applyBorder="1"/>
    <xf numFmtId="0" fontId="0" fillId="26" borderId="32" xfId="0" applyFill="1" applyBorder="1" applyAlignment="1">
      <alignment horizontal="left"/>
    </xf>
    <xf numFmtId="0" fontId="0" fillId="26" borderId="32" xfId="0" applyFill="1" applyBorder="1" applyAlignment="1">
      <alignment horizontal="center"/>
    </xf>
    <xf numFmtId="0" fontId="24" fillId="6" borderId="14" xfId="0" applyFont="1" applyFill="1" applyBorder="1" applyAlignment="1" applyProtection="1">
      <alignment horizontal="center" vertical="center" wrapText="1"/>
      <protection locked="0"/>
    </xf>
    <xf numFmtId="0" fontId="24" fillId="6" borderId="29" xfId="0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/>
    <xf numFmtId="0" fontId="0" fillId="27" borderId="46" xfId="0" applyFill="1" applyBorder="1"/>
    <xf numFmtId="0" fontId="0" fillId="27" borderId="45" xfId="0" applyFill="1" applyBorder="1"/>
    <xf numFmtId="0" fontId="0" fillId="28" borderId="32" xfId="0" applyFill="1" applyBorder="1"/>
    <xf numFmtId="171" fontId="21" fillId="17" borderId="32" xfId="48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>
      <alignment horizontal="center" vertical="center" wrapText="1"/>
    </xf>
    <xf numFmtId="171" fontId="0" fillId="0" borderId="39" xfId="48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37" xfId="0" applyFill="1" applyBorder="1"/>
    <xf numFmtId="0" fontId="0" fillId="26" borderId="48" xfId="0" applyFill="1" applyBorder="1"/>
    <xf numFmtId="0" fontId="0" fillId="26" borderId="49" xfId="0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1" fontId="0" fillId="6" borderId="0" xfId="0" applyNumberFormat="1" applyFill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left" wrapText="1"/>
    </xf>
    <xf numFmtId="4" fontId="0" fillId="6" borderId="53" xfId="0" applyNumberFormat="1" applyFill="1" applyBorder="1" applyProtection="1">
      <protection locked="0"/>
    </xf>
    <xf numFmtId="4" fontId="0" fillId="6" borderId="68" xfId="0" applyNumberFormat="1" applyFill="1" applyBorder="1" applyProtection="1">
      <protection locked="0"/>
    </xf>
    <xf numFmtId="4" fontId="0" fillId="6" borderId="74" xfId="0" applyNumberFormat="1" applyFill="1" applyBorder="1" applyProtection="1">
      <protection locked="0"/>
    </xf>
    <xf numFmtId="4" fontId="0" fillId="6" borderId="75" xfId="0" applyNumberFormat="1" applyFill="1" applyBorder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/>
    <xf numFmtId="0" fontId="0" fillId="6" borderId="37" xfId="0" applyFill="1" applyBorder="1" applyAlignment="1" applyProtection="1">
      <alignment horizontal="center" textRotation="90" wrapText="1"/>
      <protection locked="0"/>
    </xf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>
      <alignment horizontal="center" vertical="center"/>
    </xf>
    <xf numFmtId="171" fontId="24" fillId="17" borderId="30" xfId="48" applyFont="1" applyFill="1" applyBorder="1" applyAlignment="1" applyProtection="1">
      <alignment horizontal="center" vertical="center"/>
    </xf>
    <xf numFmtId="171" fontId="24" fillId="17" borderId="29" xfId="48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Border="1" applyAlignment="1">
      <alignment horizontal="left"/>
    </xf>
    <xf numFmtId="0" fontId="17" fillId="0" borderId="95" xfId="33" applyFont="1" applyBorder="1" applyAlignment="1">
      <alignment vertical="center"/>
    </xf>
    <xf numFmtId="0" fontId="0" fillId="0" borderId="95" xfId="0" applyBorder="1" applyAlignment="1">
      <alignment horizontal="center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Font="1" applyFill="1" applyBorder="1" applyAlignment="1" applyProtection="1">
      <alignment vertical="center" shrinkToFit="1"/>
    </xf>
    <xf numFmtId="171" fontId="24" fillId="17" borderId="71" xfId="48" applyFont="1" applyFill="1" applyBorder="1" applyAlignment="1" applyProtection="1">
      <alignment horizontal="center" vertical="center" shrinkToFit="1"/>
    </xf>
    <xf numFmtId="171" fontId="24" fillId="17" borderId="75" xfId="48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8" fillId="0" borderId="32" xfId="0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0" fillId="0" borderId="14" xfId="33" applyFont="1" applyBorder="1" applyAlignment="1">
      <alignment horizontal="left" vertical="top" wrapText="1"/>
    </xf>
    <xf numFmtId="0" fontId="0" fillId="0" borderId="31" xfId="0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24" fillId="0" borderId="32" xfId="33" applyFont="1" applyBorder="1" applyAlignment="1">
      <alignment horizontal="center" vertical="center"/>
    </xf>
    <xf numFmtId="4" fontId="17" fillId="0" borderId="32" xfId="33" applyNumberFormat="1" applyFont="1" applyBorder="1" applyAlignment="1">
      <alignment horizontal="center" vertical="center" wrapText="1"/>
    </xf>
    <xf numFmtId="0" fontId="17" fillId="0" borderId="32" xfId="33" applyFont="1" applyBorder="1" applyAlignment="1">
      <alignment horizontal="center" vertical="center"/>
    </xf>
    <xf numFmtId="0" fontId="8" fillId="0" borderId="32" xfId="33" applyFont="1" applyBorder="1" applyAlignment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Border="1" applyAlignment="1">
      <alignment horizontal="left" wrapText="1"/>
    </xf>
    <xf numFmtId="0" fontId="0" fillId="0" borderId="32" xfId="33" applyFont="1" applyBorder="1" applyAlignment="1">
      <alignment horizontal="center" vertical="center" wrapText="1"/>
    </xf>
    <xf numFmtId="4" fontId="17" fillId="0" borderId="32" xfId="33" applyNumberFormat="1" applyFont="1" applyBorder="1" applyAlignment="1">
      <alignment horizontal="center" vertical="center"/>
    </xf>
    <xf numFmtId="164" fontId="8" fillId="16" borderId="14" xfId="32" applyFont="1" applyFill="1" applyBorder="1" applyAlignment="1" applyProtection="1">
      <alignment horizontal="left"/>
      <protection locked="0"/>
    </xf>
    <xf numFmtId="0" fontId="33" fillId="0" borderId="0" xfId="0" applyFont="1" applyAlignment="1">
      <alignment horizontal="center" vertical="top"/>
    </xf>
    <xf numFmtId="0" fontId="8" fillId="0" borderId="32" xfId="33" applyFont="1" applyBorder="1" applyAlignment="1">
      <alignment horizontal="left" vertical="center" wrapText="1"/>
    </xf>
    <xf numFmtId="0" fontId="30" fillId="8" borderId="32" xfId="33" applyFont="1" applyFill="1" applyBorder="1" applyAlignment="1">
      <alignment horizontal="center" vertical="center" wrapText="1"/>
    </xf>
    <xf numFmtId="0" fontId="32" fillId="0" borderId="0" xfId="33" applyFont="1" applyAlignment="1">
      <alignment horizontal="left" vertical="center" indent="1"/>
    </xf>
    <xf numFmtId="0" fontId="0" fillId="0" borderId="0" xfId="33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0" fillId="0" borderId="10" xfId="33" applyFont="1" applyBorder="1" applyAlignment="1">
      <alignment horizontal="left" vertical="center"/>
    </xf>
    <xf numFmtId="0" fontId="23" fillId="0" borderId="32" xfId="33" applyFont="1" applyBorder="1" applyAlignment="1">
      <alignment horizontal="center"/>
    </xf>
    <xf numFmtId="167" fontId="0" fillId="0" borderId="30" xfId="33" applyNumberFormat="1" applyFont="1" applyBorder="1" applyAlignment="1">
      <alignment horizontal="left"/>
    </xf>
    <xf numFmtId="186" fontId="0" fillId="0" borderId="30" xfId="33" applyNumberFormat="1" applyFont="1" applyBorder="1" applyAlignment="1">
      <alignment horizontal="left"/>
    </xf>
    <xf numFmtId="0" fontId="24" fillId="0" borderId="0" xfId="33" applyFont="1" applyAlignment="1">
      <alignment horizontal="left" vertical="center"/>
    </xf>
    <xf numFmtId="0" fontId="17" fillId="0" borderId="0" xfId="33" applyFont="1" applyAlignment="1">
      <alignment horizontal="left" vertic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Alignment="1">
      <alignment horizontal="center" textRotation="90"/>
    </xf>
    <xf numFmtId="186" fontId="0" fillId="0" borderId="0" xfId="0" applyNumberFormat="1" applyAlignment="1">
      <alignment horizontal="left"/>
    </xf>
    <xf numFmtId="0" fontId="24" fillId="17" borderId="13" xfId="0" applyFont="1" applyFill="1" applyBorder="1" applyAlignment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0" fillId="0" borderId="32" xfId="0" applyBorder="1" applyAlignment="1">
      <alignment horizontal="left" wrapText="1"/>
    </xf>
    <xf numFmtId="0" fontId="0" fillId="14" borderId="0" xfId="0" applyFill="1" applyAlignment="1">
      <alignment horizontal="left"/>
    </xf>
    <xf numFmtId="0" fontId="0" fillId="0" borderId="47" xfId="33" applyFont="1" applyBorder="1" applyAlignment="1">
      <alignment horizontal="left" vertical="top" wrapText="1"/>
    </xf>
    <xf numFmtId="0" fontId="0" fillId="0" borderId="32" xfId="0" applyBorder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62" fillId="0" borderId="0" xfId="0" applyFont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Alignment="1">
      <alignment horizontal="center" textRotation="90" wrapText="1"/>
    </xf>
    <xf numFmtId="0" fontId="23" fillId="0" borderId="0" xfId="0" applyFont="1" applyAlignment="1">
      <alignment horizontal="left" vertical="center" indent="10"/>
    </xf>
    <xf numFmtId="0" fontId="37" fillId="0" borderId="0" xfId="0" applyFont="1" applyAlignment="1">
      <alignment horizontal="left" vertical="center" indent="10"/>
    </xf>
    <xf numFmtId="0" fontId="24" fillId="17" borderId="32" xfId="0" applyFont="1" applyFill="1" applyBorder="1" applyAlignment="1">
      <alignment horizontal="left" vertical="center" wrapText="1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09" xfId="0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left" vertical="top" wrapText="1"/>
    </xf>
    <xf numFmtId="0" fontId="12" fillId="0" borderId="32" xfId="0" applyFont="1" applyBorder="1"/>
    <xf numFmtId="0" fontId="46" fillId="18" borderId="32" xfId="0" applyFont="1" applyFill="1" applyBorder="1" applyAlignment="1">
      <alignment horizontal="left" vertical="center"/>
    </xf>
    <xf numFmtId="0" fontId="46" fillId="0" borderId="14" xfId="34" applyFont="1" applyBorder="1" applyAlignment="1">
      <alignment horizontal="left"/>
    </xf>
    <xf numFmtId="0" fontId="46" fillId="0" borderId="0" xfId="34" applyFont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186" fontId="0" fillId="0" borderId="30" xfId="0" applyNumberFormat="1" applyBorder="1" applyAlignment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wrapText="1"/>
    </xf>
    <xf numFmtId="0" fontId="0" fillId="0" borderId="40" xfId="0" applyBorder="1" applyAlignment="1">
      <alignment horizontal="left"/>
    </xf>
    <xf numFmtId="0" fontId="49" fillId="0" borderId="31" xfId="34" applyFont="1" applyBorder="1" applyAlignment="1">
      <alignment horizontal="center"/>
    </xf>
    <xf numFmtId="0" fontId="46" fillId="0" borderId="14" xfId="34" applyFont="1" applyBorder="1" applyAlignment="1">
      <alignment horizontal="center"/>
    </xf>
    <xf numFmtId="14" fontId="0" fillId="6" borderId="48" xfId="0" applyNumberFormat="1" applyFill="1" applyBorder="1" applyAlignment="1" applyProtection="1">
      <alignment horizontal="center"/>
      <protection locked="0"/>
    </xf>
    <xf numFmtId="0" fontId="0" fillId="18" borderId="40" xfId="0" applyFill="1" applyBorder="1"/>
    <xf numFmtId="14" fontId="0" fillId="6" borderId="37" xfId="0" applyNumberFormat="1" applyFill="1" applyBorder="1" applyAlignment="1" applyProtection="1">
      <alignment horizontal="center"/>
      <protection locked="0"/>
    </xf>
    <xf numFmtId="176" fontId="24" fillId="8" borderId="32" xfId="0" applyNumberFormat="1" applyFont="1" applyFill="1" applyBorder="1" applyAlignment="1">
      <alignment horizontal="center" shrinkToFit="1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0" fontId="60" fillId="0" borderId="110" xfId="0" applyFont="1" applyBorder="1" applyAlignment="1">
      <alignment horizontal="center" vertical="top" wrapText="1"/>
    </xf>
    <xf numFmtId="0" fontId="24" fillId="8" borderId="32" xfId="0" applyFont="1" applyFill="1" applyBorder="1" applyAlignment="1">
      <alignment horizontal="center"/>
    </xf>
    <xf numFmtId="14" fontId="0" fillId="6" borderId="49" xfId="0" applyNumberFormat="1" applyFill="1" applyBorder="1" applyAlignment="1" applyProtection="1">
      <alignment horizontal="center"/>
      <protection locked="0"/>
    </xf>
    <xf numFmtId="10" fontId="23" fillId="0" borderId="14" xfId="37" applyNumberFormat="1" applyFont="1" applyFill="1" applyBorder="1" applyAlignment="1" applyProtection="1">
      <alignment horizontal="center"/>
    </xf>
    <xf numFmtId="10" fontId="56" fillId="0" borderId="34" xfId="37" applyNumberFormat="1" applyFill="1" applyBorder="1" applyAlignment="1" applyProtection="1">
      <alignment horizontal="center"/>
    </xf>
    <xf numFmtId="177" fontId="56" fillId="0" borderId="30" xfId="48" applyNumberFormat="1" applyFill="1" applyBorder="1" applyAlignment="1" applyProtection="1">
      <alignment horizontal="center" shrinkToFit="1"/>
    </xf>
    <xf numFmtId="10" fontId="56" fillId="0" borderId="31" xfId="37" applyNumberFormat="1" applyFill="1" applyBorder="1" applyAlignment="1" applyProtection="1">
      <alignment horizontal="center"/>
    </xf>
    <xf numFmtId="10" fontId="56" fillId="0" borderId="10" xfId="37" applyNumberFormat="1" applyFill="1" applyBorder="1" applyAlignment="1" applyProtection="1">
      <alignment horizontal="center"/>
    </xf>
    <xf numFmtId="177" fontId="56" fillId="0" borderId="14" xfId="48" applyNumberFormat="1" applyFill="1" applyBorder="1" applyAlignment="1" applyProtection="1">
      <alignment horizontal="center" shrinkToFit="1"/>
    </xf>
    <xf numFmtId="0" fontId="24" fillId="0" borderId="32" xfId="0" applyFont="1" applyBorder="1" applyAlignment="1">
      <alignment horizontal="right" vertical="center"/>
    </xf>
    <xf numFmtId="10" fontId="56" fillId="0" borderId="33" xfId="37" applyNumberFormat="1" applyFill="1" applyBorder="1" applyAlignment="1" applyProtection="1">
      <alignment horizontal="center"/>
    </xf>
    <xf numFmtId="10" fontId="56" fillId="0" borderId="82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77" fontId="56" fillId="0" borderId="47" xfId="48" applyNumberFormat="1" applyFill="1" applyBorder="1" applyAlignment="1" applyProtection="1">
      <alignment horizontal="center" shrinkToFi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>
      <alignment horizontal="center"/>
    </xf>
    <xf numFmtId="49" fontId="0" fillId="0" borderId="47" xfId="0" applyNumberFormat="1" applyBorder="1" applyAlignment="1">
      <alignment horizontal="left"/>
    </xf>
    <xf numFmtId="0" fontId="0" fillId="0" borderId="0" xfId="0" applyAlignment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0" fillId="0" borderId="14" xfId="0" applyBorder="1" applyAlignment="1">
      <alignment horizontal="center"/>
    </xf>
    <xf numFmtId="0" fontId="31" fillId="0" borderId="0" xfId="0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top"/>
    </xf>
    <xf numFmtId="0" fontId="23" fillId="6" borderId="33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171" fontId="24" fillId="8" borderId="14" xfId="48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Font="1" applyFill="1" applyBorder="1" applyAlignment="1">
      <alignment horizontal="left" vertical="center" wrapText="1"/>
    </xf>
    <xf numFmtId="0" fontId="0" fillId="6" borderId="0" xfId="33" applyFont="1" applyFill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7" fillId="0" borderId="30" xfId="33" applyFont="1" applyBorder="1" applyAlignment="1">
      <alignment horizontal="center" vertical="center"/>
    </xf>
    <xf numFmtId="4" fontId="24" fillId="0" borderId="31" xfId="0" applyNumberFormat="1" applyFont="1" applyBorder="1" applyAlignment="1">
      <alignment horizontal="left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>
      <alignment horizontal="center"/>
    </xf>
    <xf numFmtId="0" fontId="53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3" xfId="35" applyFont="1" applyBorder="1" applyAlignment="1">
      <alignment horizontal="center"/>
    </xf>
    <xf numFmtId="0" fontId="24" fillId="0" borderId="0" xfId="35" applyFont="1" applyAlignment="1">
      <alignment horizontal="center"/>
    </xf>
    <xf numFmtId="0" fontId="24" fillId="0" borderId="12" xfId="35" applyFont="1" applyBorder="1" applyAlignment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8" borderId="84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69" xfId="0" applyFill="1" applyBorder="1" applyAlignment="1">
      <alignment horizontal="center" vertical="center"/>
    </xf>
    <xf numFmtId="0" fontId="24" fillId="8" borderId="111" xfId="0" applyFont="1" applyFill="1" applyBorder="1" applyAlignment="1">
      <alignment horizontal="center" vertical="center" wrapText="1"/>
    </xf>
    <xf numFmtId="0" fontId="24" fillId="8" borderId="112" xfId="0" applyFont="1" applyFill="1" applyBorder="1" applyAlignment="1">
      <alignment horizontal="center" vertical="center" wrapText="1"/>
    </xf>
    <xf numFmtId="49" fontId="0" fillId="6" borderId="0" xfId="33" applyNumberFormat="1" applyFont="1" applyFill="1" applyAlignment="1" applyProtection="1">
      <alignment horizontal="left"/>
      <protection locked="0"/>
    </xf>
    <xf numFmtId="168" fontId="0" fillId="0" borderId="0" xfId="33" applyNumberFormat="1" applyFont="1" applyAlignment="1">
      <alignment horizontal="right"/>
    </xf>
    <xf numFmtId="0" fontId="0" fillId="0" borderId="0" xfId="33" applyFont="1" applyAlignment="1">
      <alignment horizontal="left"/>
    </xf>
    <xf numFmtId="0" fontId="0" fillId="0" borderId="0" xfId="33" applyFont="1" applyAlignment="1">
      <alignment horizontal="center"/>
    </xf>
    <xf numFmtId="171" fontId="24" fillId="8" borderId="113" xfId="48" applyFont="1" applyFill="1" applyBorder="1" applyAlignment="1" applyProtection="1">
      <alignment horizontal="center" vertical="center"/>
    </xf>
    <xf numFmtId="171" fontId="24" fillId="8" borderId="114" xfId="48" applyFont="1" applyFill="1" applyBorder="1" applyAlignment="1" applyProtection="1">
      <alignment horizontal="center" vertical="center"/>
    </xf>
    <xf numFmtId="0" fontId="24" fillId="8" borderId="115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  <xf numFmtId="0" fontId="0" fillId="0" borderId="0" xfId="33" applyFont="1" applyAlignment="1">
      <alignment horizontal="left" vertical="top" wrapText="1"/>
    </xf>
    <xf numFmtId="0" fontId="0" fillId="0" borderId="53" xfId="33" applyFont="1" applyBorder="1" applyAlignment="1">
      <alignment horizontal="center"/>
    </xf>
    <xf numFmtId="0" fontId="0" fillId="0" borderId="0" xfId="33" applyFont="1" applyAlignment="1">
      <alignment horizontal="left" wrapText="1"/>
    </xf>
    <xf numFmtId="0" fontId="0" fillId="0" borderId="0" xfId="33" applyFont="1" applyAlignment="1">
      <alignment vertical="center"/>
    </xf>
    <xf numFmtId="0" fontId="0" fillId="0" borderId="0" xfId="33" applyFont="1" applyAlignment="1">
      <alignment horizontal="left" vertical="top" wrapText="1" shrinkToFit="1"/>
    </xf>
    <xf numFmtId="0" fontId="0" fillId="0" borderId="54" xfId="33" applyFont="1" applyBorder="1" applyAlignment="1">
      <alignment horizontal="center" vertical="center" wrapText="1"/>
    </xf>
    <xf numFmtId="0" fontId="0" fillId="0" borderId="68" xfId="33" applyFont="1" applyBorder="1" applyAlignment="1">
      <alignment horizontal="center" vertical="center" wrapText="1"/>
    </xf>
    <xf numFmtId="0" fontId="0" fillId="0" borderId="39" xfId="33" applyFont="1" applyBorder="1" applyAlignment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0" xfId="33" applyFont="1" applyAlignment="1">
      <alignment horizontal="left" vertical="top"/>
    </xf>
    <xf numFmtId="0" fontId="0" fillId="0" borderId="0" xfId="0"/>
    <xf numFmtId="0" fontId="0" fillId="0" borderId="74" xfId="33" applyFont="1" applyBorder="1" applyAlignment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horizontal="left" vertical="top" wrapText="1"/>
      <protection locked="0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/>
    <cellStyle name="Normal" xfId="0" builtinId="0"/>
    <cellStyle name="Normal 2" xfId="33"/>
    <cellStyle name="Normal 3" xfId="34"/>
    <cellStyle name="Normal_FICHA DE VERIFICAÇÃO PRELIMINAR - Plano R" xfId="35"/>
    <cellStyle name="Nota" xfId="36" builtinId="10" customBuiltin="1"/>
    <cellStyle name="Porcentagem" xfId="37" builtinId="5"/>
    <cellStyle name="Porcentagem 2" xfId="38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/>
    <cellStyle name="Total" xfId="47" builtinId="25" customBuiltin="1"/>
    <cellStyle name="Vírgula" xfId="48" builtinId="3"/>
    <cellStyle name="Vírgula 2" xfId="49"/>
  </cellStyles>
  <dxfs count="309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2" fmlaLink="$O$4" fmlaRange="$J$7:$J$8" noThreeD="1" sel="1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2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2028825</xdr:colOff>
      <xdr:row>2</xdr:row>
      <xdr:rowOff>257175</xdr:rowOff>
    </xdr:to>
    <xdr:pic>
      <xdr:nvPicPr>
        <xdr:cNvPr id="82270" name="Imagem 23">
          <a:extLst>
            <a:ext uri="{FF2B5EF4-FFF2-40B4-BE49-F238E27FC236}">
              <a16:creationId xmlns:a16="http://schemas.microsoft.com/office/drawing/2014/main" id="{00000000-0008-0000-0000-00005E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240982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</xdr:row>
          <xdr:rowOff>0</xdr:rowOff>
        </xdr:from>
        <xdr:to>
          <xdr:col>2</xdr:col>
          <xdr:colOff>1228725</xdr:colOff>
          <xdr:row>6</xdr:row>
          <xdr:rowOff>9525</xdr:rowOff>
        </xdr:to>
        <xdr:grpSp>
          <xdr:nvGrpSpPr>
            <xdr:cNvPr id="82271" name="TipoOrçamento">
              <a:extLst>
                <a:ext uri="{FF2B5EF4-FFF2-40B4-BE49-F238E27FC236}">
                  <a16:creationId xmlns:a16="http://schemas.microsoft.com/office/drawing/2014/main" id="{00000000-0008-0000-0000-00005F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81025" y="971550"/>
              <a:ext cx="1219200" cy="485775"/>
              <a:chOff x="523876" y="971550"/>
              <a:chExt cx="1257301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50"/>
                <a:ext cx="1257301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4</xdr:row>
          <xdr:rowOff>0</xdr:rowOff>
        </xdr:from>
        <xdr:to>
          <xdr:col>3</xdr:col>
          <xdr:colOff>19050</xdr:colOff>
          <xdr:row>6</xdr:row>
          <xdr:rowOff>9525</xdr:rowOff>
        </xdr:to>
        <xdr:grpSp>
          <xdr:nvGrpSpPr>
            <xdr:cNvPr id="82272" name="Acompanhamento">
              <a:extLst>
                <a:ext uri="{FF2B5EF4-FFF2-40B4-BE49-F238E27FC236}">
                  <a16:creationId xmlns:a16="http://schemas.microsoft.com/office/drawing/2014/main" id="{00000000-0008-0000-0000-000060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95475" y="971550"/>
              <a:ext cx="1266825" cy="485775"/>
              <a:chOff x="1790701" y="971550"/>
              <a:chExt cx="1304926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50"/>
                <a:ext cx="1304926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49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146684</xdr:rowOff>
    </xdr:from>
    <xdr:to>
      <xdr:col>9</xdr:col>
      <xdr:colOff>1111194</xdr:colOff>
      <xdr:row>9</xdr:row>
      <xdr:rowOff>38049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146685</xdr:rowOff>
    </xdr:from>
    <xdr:to>
      <xdr:col>9</xdr:col>
      <xdr:colOff>1111193</xdr:colOff>
      <xdr:row>17</xdr:row>
      <xdr:rowOff>38239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1111208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133350</xdr:colOff>
      <xdr:row>3</xdr:row>
      <xdr:rowOff>180975</xdr:rowOff>
    </xdr:to>
    <xdr:pic>
      <xdr:nvPicPr>
        <xdr:cNvPr id="89288" name="Picture 2">
          <a:extLst>
            <a:ext uri="{FF2B5EF4-FFF2-40B4-BE49-F238E27FC236}">
              <a16:creationId xmlns:a16="http://schemas.microsoft.com/office/drawing/2014/main" id="{00000000-0008-0000-0900-0000C8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975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13591</xdr:colOff>
      <xdr:row>9</xdr:row>
      <xdr:rowOff>115537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13070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13070</xdr:colOff>
      <xdr:row>10</xdr:row>
      <xdr:rowOff>678101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90412" name="Picture 2">
          <a:extLst>
            <a:ext uri="{FF2B5EF4-FFF2-40B4-BE49-F238E27FC236}">
              <a16:creationId xmlns:a16="http://schemas.microsoft.com/office/drawing/2014/main" id="{00000000-0008-0000-0A00-00002C6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24765</xdr:rowOff>
    </xdr:from>
    <xdr:to>
      <xdr:col>4</xdr:col>
      <xdr:colOff>184498</xdr:colOff>
      <xdr:row>10</xdr:row>
      <xdr:rowOff>1522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329565</xdr:colOff>
      <xdr:row>8</xdr:row>
      <xdr:rowOff>24765</xdr:rowOff>
    </xdr:from>
    <xdr:to>
      <xdr:col>5</xdr:col>
      <xdr:colOff>522043</xdr:colOff>
      <xdr:row>10</xdr:row>
      <xdr:rowOff>9980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636270</xdr:colOff>
      <xdr:row>8</xdr:row>
      <xdr:rowOff>24765</xdr:rowOff>
    </xdr:from>
    <xdr:to>
      <xdr:col>6</xdr:col>
      <xdr:colOff>184977</xdr:colOff>
      <xdr:row>10</xdr:row>
      <xdr:rowOff>1522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711412</xdr:colOff>
      <xdr:row>8</xdr:row>
      <xdr:rowOff>23918</xdr:rowOff>
    </xdr:from>
    <xdr:to>
      <xdr:col>9</xdr:col>
      <xdr:colOff>456235</xdr:colOff>
      <xdr:row>10</xdr:row>
      <xdr:rowOff>5161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8</xdr:row>
      <xdr:rowOff>57150</xdr:rowOff>
    </xdr:from>
    <xdr:to>
      <xdr:col>12</xdr:col>
      <xdr:colOff>438442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665039</xdr:colOff>
      <xdr:row>10</xdr:row>
      <xdr:rowOff>86109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514350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19050</xdr:colOff>
      <xdr:row>0</xdr:row>
      <xdr:rowOff>19050</xdr:rowOff>
    </xdr:from>
    <xdr:to>
      <xdr:col>4</xdr:col>
      <xdr:colOff>1104900</xdr:colOff>
      <xdr:row>2</xdr:row>
      <xdr:rowOff>19050</xdr:rowOff>
    </xdr:to>
    <xdr:pic>
      <xdr:nvPicPr>
        <xdr:cNvPr id="91438" name="Picture 2">
          <a:extLst>
            <a:ext uri="{FF2B5EF4-FFF2-40B4-BE49-F238E27FC236}">
              <a16:creationId xmlns:a16="http://schemas.microsoft.com/office/drawing/2014/main" id="{00000000-0008-0000-0B00-00002E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"/>
          <a:ext cx="18002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786765</xdr:colOff>
      <xdr:row>8</xdr:row>
      <xdr:rowOff>112395</xdr:rowOff>
    </xdr:from>
    <xdr:to>
      <xdr:col>4</xdr:col>
      <xdr:colOff>2599943</xdr:colOff>
      <xdr:row>10</xdr:row>
      <xdr:rowOff>86021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63288</xdr:rowOff>
    </xdr:from>
    <xdr:to>
      <xdr:col>16</xdr:col>
      <xdr:colOff>0</xdr:colOff>
      <xdr:row>9</xdr:row>
      <xdr:rowOff>102093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33020</xdr:colOff>
      <xdr:row>8</xdr:row>
      <xdr:rowOff>116417</xdr:rowOff>
    </xdr:from>
    <xdr:to>
      <xdr:col>4</xdr:col>
      <xdr:colOff>635141</xdr:colOff>
      <xdr:row>10</xdr:row>
      <xdr:rowOff>92141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1352550</xdr:colOff>
      <xdr:row>0</xdr:row>
      <xdr:rowOff>381000</xdr:rowOff>
    </xdr:to>
    <xdr:pic>
      <xdr:nvPicPr>
        <xdr:cNvPr id="92360" name="Picture 2">
          <a:extLst>
            <a:ext uri="{FF2B5EF4-FFF2-40B4-BE49-F238E27FC236}">
              <a16:creationId xmlns:a16="http://schemas.microsoft.com/office/drawing/2014/main" id="{00000000-0008-0000-0C00-0000C86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146685</xdr:rowOff>
    </xdr:from>
    <xdr:to>
      <xdr:col>24</xdr:col>
      <xdr:colOff>184880</xdr:colOff>
      <xdr:row>10</xdr:row>
      <xdr:rowOff>65073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95250</xdr:colOff>
      <xdr:row>8</xdr:row>
      <xdr:rowOff>28575</xdr:rowOff>
    </xdr:from>
    <xdr:to>
      <xdr:col>5</xdr:col>
      <xdr:colOff>142962</xdr:colOff>
      <xdr:row>10</xdr:row>
      <xdr:rowOff>25317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223308</xdr:colOff>
      <xdr:row>8</xdr:row>
      <xdr:rowOff>31750</xdr:rowOff>
    </xdr:from>
    <xdr:to>
      <xdr:col>5</xdr:col>
      <xdr:colOff>811864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436669</xdr:colOff>
      <xdr:row>1</xdr:row>
      <xdr:rowOff>64559</xdr:rowOff>
    </xdr:from>
    <xdr:to>
      <xdr:col>5</xdr:col>
      <xdr:colOff>451870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550545</xdr:colOff>
      <xdr:row>1</xdr:row>
      <xdr:rowOff>66675</xdr:rowOff>
    </xdr:from>
    <xdr:to>
      <xdr:col>3</xdr:col>
      <xdr:colOff>1158768</xdr:colOff>
      <xdr:row>2</xdr:row>
      <xdr:rowOff>193287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1198881</xdr:colOff>
      <xdr:row>1</xdr:row>
      <xdr:rowOff>63499</xdr:rowOff>
    </xdr:from>
    <xdr:to>
      <xdr:col>4</xdr:col>
      <xdr:colOff>388189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41930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19050</xdr:rowOff>
    </xdr:from>
    <xdr:to>
      <xdr:col>11</xdr:col>
      <xdr:colOff>390525</xdr:colOff>
      <xdr:row>2</xdr:row>
      <xdr:rowOff>38100</xdr:rowOff>
    </xdr:to>
    <xdr:pic>
      <xdr:nvPicPr>
        <xdr:cNvPr id="83094" name="Logo1">
          <a:extLst>
            <a:ext uri="{FF2B5EF4-FFF2-40B4-BE49-F238E27FC236}">
              <a16:creationId xmlns:a16="http://schemas.microsoft.com/office/drawing/2014/main" id="{00000000-0008-0000-0300-000096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"/>
          <a:ext cx="17907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38523</xdr:rowOff>
    </xdr:from>
    <xdr:to>
      <xdr:col>8</xdr:col>
      <xdr:colOff>154217</xdr:colOff>
      <xdr:row>3</xdr:row>
      <xdr:rowOff>8644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47625</xdr:rowOff>
    </xdr:from>
    <xdr:to>
      <xdr:col>8</xdr:col>
      <xdr:colOff>154216</xdr:colOff>
      <xdr:row>5</xdr:row>
      <xdr:rowOff>42267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19050</xdr:rowOff>
    </xdr:from>
    <xdr:to>
      <xdr:col>15</xdr:col>
      <xdr:colOff>1009650</xdr:colOff>
      <xdr:row>1</xdr:row>
      <xdr:rowOff>171450</xdr:rowOff>
    </xdr:to>
    <xdr:pic>
      <xdr:nvPicPr>
        <xdr:cNvPr id="84477" name="Picture 2">
          <a:extLst>
            <a:ext uri="{FF2B5EF4-FFF2-40B4-BE49-F238E27FC236}">
              <a16:creationId xmlns:a16="http://schemas.microsoft.com/office/drawing/2014/main" id="{00000000-0008-0000-0400-0000FD4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905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1005936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447675</xdr:colOff>
          <xdr:row>9</xdr:row>
          <xdr:rowOff>114300</xdr:rowOff>
        </xdr:from>
        <xdr:to>
          <xdr:col>19</xdr:col>
          <xdr:colOff>866775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438150</xdr:colOff>
          <xdr:row>9</xdr:row>
          <xdr:rowOff>114300</xdr:rowOff>
        </xdr:from>
        <xdr:to>
          <xdr:col>20</xdr:col>
          <xdr:colOff>857250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276225</xdr:colOff>
          <xdr:row>9</xdr:row>
          <xdr:rowOff>114300</xdr:rowOff>
        </xdr:from>
        <xdr:to>
          <xdr:col>21</xdr:col>
          <xdr:colOff>695325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352425</xdr:colOff>
          <xdr:row>9</xdr:row>
          <xdr:rowOff>114300</xdr:rowOff>
        </xdr:from>
        <xdr:to>
          <xdr:col>22</xdr:col>
          <xdr:colOff>771525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438150</xdr:colOff>
          <xdr:row>9</xdr:row>
          <xdr:rowOff>104775</xdr:rowOff>
        </xdr:from>
        <xdr:to>
          <xdr:col>23</xdr:col>
          <xdr:colOff>857250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297180</xdr:colOff>
      <xdr:row>0</xdr:row>
      <xdr:rowOff>158115</xdr:rowOff>
    </xdr:from>
    <xdr:to>
      <xdr:col>13</xdr:col>
      <xdr:colOff>291750</xdr:colOff>
      <xdr:row>2</xdr:row>
      <xdr:rowOff>37990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590795</xdr:colOff>
      <xdr:row>11</xdr:row>
      <xdr:rowOff>1310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80010</xdr:colOff>
      <xdr:row>9</xdr:row>
      <xdr:rowOff>0</xdr:rowOff>
    </xdr:from>
    <xdr:to>
      <xdr:col>17</xdr:col>
      <xdr:colOff>1508898</xdr:colOff>
      <xdr:row>11</xdr:row>
      <xdr:rowOff>1310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655320</xdr:colOff>
      <xdr:row>9</xdr:row>
      <xdr:rowOff>0</xdr:rowOff>
    </xdr:from>
    <xdr:to>
      <xdr:col>17</xdr:col>
      <xdr:colOff>9434</xdr:colOff>
      <xdr:row>11</xdr:row>
      <xdr:rowOff>1310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1602105</xdr:colOff>
      <xdr:row>9</xdr:row>
      <xdr:rowOff>0</xdr:rowOff>
    </xdr:from>
    <xdr:to>
      <xdr:col>17</xdr:col>
      <xdr:colOff>3254296</xdr:colOff>
      <xdr:row>11</xdr:row>
      <xdr:rowOff>1310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3293533</xdr:colOff>
      <xdr:row>9</xdr:row>
      <xdr:rowOff>1</xdr:rowOff>
    </xdr:from>
    <xdr:to>
      <xdr:col>18</xdr:col>
      <xdr:colOff>260558</xdr:colOff>
      <xdr:row>11</xdr:row>
      <xdr:rowOff>1311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298238</xdr:colOff>
      <xdr:row>2</xdr:row>
      <xdr:rowOff>80857</xdr:rowOff>
    </xdr:from>
    <xdr:to>
      <xdr:col>13</xdr:col>
      <xdr:colOff>291742</xdr:colOff>
      <xdr:row>4</xdr:row>
      <xdr:rowOff>70118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292946</xdr:colOff>
      <xdr:row>4</xdr:row>
      <xdr:rowOff>120650</xdr:rowOff>
    </xdr:from>
    <xdr:to>
      <xdr:col>13</xdr:col>
      <xdr:colOff>295766</xdr:colOff>
      <xdr:row>7</xdr:row>
      <xdr:rowOff>62680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5</xdr:col>
      <xdr:colOff>1009650</xdr:colOff>
      <xdr:row>2</xdr:row>
      <xdr:rowOff>9525</xdr:rowOff>
    </xdr:to>
    <xdr:pic>
      <xdr:nvPicPr>
        <xdr:cNvPr id="85292" name="Picture 2">
          <a:extLst>
            <a:ext uri="{FF2B5EF4-FFF2-40B4-BE49-F238E27FC236}">
              <a16:creationId xmlns:a16="http://schemas.microsoft.com/office/drawing/2014/main" id="{00000000-0008-0000-0500-00002C4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9050"/>
          <a:ext cx="18192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1905</xdr:rowOff>
    </xdr:from>
    <xdr:to>
      <xdr:col>3</xdr:col>
      <xdr:colOff>449285</xdr:colOff>
      <xdr:row>2</xdr:row>
      <xdr:rowOff>123912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171450</xdr:colOff>
      <xdr:row>11</xdr:row>
      <xdr:rowOff>266700</xdr:rowOff>
    </xdr:from>
    <xdr:to>
      <xdr:col>5</xdr:col>
      <xdr:colOff>2826245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2897505</xdr:colOff>
      <xdr:row>11</xdr:row>
      <xdr:rowOff>266700</xdr:rowOff>
    </xdr:from>
    <xdr:to>
      <xdr:col>6</xdr:col>
      <xdr:colOff>18164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80010</xdr:colOff>
      <xdr:row>11</xdr:row>
      <xdr:rowOff>266700</xdr:rowOff>
    </xdr:from>
    <xdr:to>
      <xdr:col>7</xdr:col>
      <xdr:colOff>893903</xdr:colOff>
      <xdr:row>11</xdr:row>
      <xdr:rowOff>573541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7832</xdr:rowOff>
    </xdr:from>
    <xdr:to>
      <xdr:col>3</xdr:col>
      <xdr:colOff>448835</xdr:colOff>
      <xdr:row>5</xdr:row>
      <xdr:rowOff>1075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663741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487680</xdr:colOff>
      <xdr:row>7</xdr:row>
      <xdr:rowOff>0</xdr:rowOff>
    </xdr:from>
    <xdr:to>
      <xdr:col>3</xdr:col>
      <xdr:colOff>1900283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2019300</xdr:colOff>
      <xdr:row>7</xdr:row>
      <xdr:rowOff>0</xdr:rowOff>
    </xdr:from>
    <xdr:to>
      <xdr:col>5</xdr:col>
      <xdr:colOff>755238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352425</xdr:colOff>
      <xdr:row>4</xdr:row>
      <xdr:rowOff>171450</xdr:rowOff>
    </xdr:to>
    <xdr:pic>
      <xdr:nvPicPr>
        <xdr:cNvPr id="87341" name="Picture 2">
          <a:extLst>
            <a:ext uri="{FF2B5EF4-FFF2-40B4-BE49-F238E27FC236}">
              <a16:creationId xmlns:a16="http://schemas.microsoft.com/office/drawing/2014/main" id="{00000000-0008-0000-0700-00002D5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180022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730336</xdr:colOff>
      <xdr:row>5</xdr:row>
      <xdr:rowOff>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70485</xdr:rowOff>
    </xdr:from>
    <xdr:to>
      <xdr:col>23</xdr:col>
      <xdr:colOff>2956</xdr:colOff>
      <xdr:row>10</xdr:row>
      <xdr:rowOff>77231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80010</xdr:colOff>
      <xdr:row>8</xdr:row>
      <xdr:rowOff>70485</xdr:rowOff>
    </xdr:from>
    <xdr:to>
      <xdr:col>9</xdr:col>
      <xdr:colOff>76039</xdr:colOff>
      <xdr:row>10</xdr:row>
      <xdr:rowOff>77231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70485</xdr:rowOff>
    </xdr:from>
    <xdr:to>
      <xdr:col>25</xdr:col>
      <xdr:colOff>80433</xdr:colOff>
      <xdr:row>10</xdr:row>
      <xdr:rowOff>77231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99483</xdr:colOff>
      <xdr:row>8</xdr:row>
      <xdr:rowOff>70485</xdr:rowOff>
    </xdr:from>
    <xdr:to>
      <xdr:col>27</xdr:col>
      <xdr:colOff>99752</xdr:colOff>
      <xdr:row>10</xdr:row>
      <xdr:rowOff>77231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10</xdr:row>
      <xdr:rowOff>228600</xdr:rowOff>
    </xdr:from>
    <xdr:to>
      <xdr:col>2</xdr:col>
      <xdr:colOff>375770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598170</xdr:colOff>
      <xdr:row>10</xdr:row>
      <xdr:rowOff>238125</xdr:rowOff>
    </xdr:from>
    <xdr:to>
      <xdr:col>2</xdr:col>
      <xdr:colOff>2006868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/>
  <dimension ref="A1:O25"/>
  <sheetViews>
    <sheetView showGridLines="0" zoomScaleNormal="100" zoomScaleSheetLayoutView="85" workbookViewId="0">
      <selection activeCell="E10" sqref="E10"/>
    </sheetView>
  </sheetViews>
  <sheetFormatPr defaultRowHeight="12.75" x14ac:dyDescent="0.2"/>
  <cols>
    <col min="1" max="1" width="2.85546875" customWidth="1"/>
    <col min="2" max="2" width="5.7109375" customWidth="1"/>
    <col min="3" max="3" width="38.5703125" customWidth="1"/>
    <col min="4" max="4" width="5.7109375" customWidth="1"/>
    <col min="5" max="5" width="38.5703125" customWidth="1"/>
    <col min="6" max="6" width="5.7109375" customWidth="1"/>
    <col min="7" max="7" width="38.5703125" customWidth="1"/>
    <col min="8" max="8" width="5.7109375" customWidth="1"/>
    <col min="9" max="9" width="2.85546875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454"/>
      <c r="B1" s="454"/>
      <c r="C1" s="454"/>
      <c r="D1" s="454"/>
      <c r="E1" s="454"/>
      <c r="F1" s="454"/>
      <c r="G1" s="454"/>
      <c r="H1" s="454"/>
      <c r="I1" s="454"/>
      <c r="J1" t="s">
        <v>0</v>
      </c>
    </row>
    <row r="2" spans="1:15" ht="22.5" customHeight="1" x14ac:dyDescent="0.2">
      <c r="A2" s="454"/>
      <c r="B2" s="456"/>
      <c r="C2" s="456"/>
      <c r="D2" s="456"/>
      <c r="E2" s="579" t="str">
        <f>CHOOSE(MATCH(Objeto,{"PM","PO"}),"PLANILHA MÚLTIPLA ","PLANILHA ORÇAMENTÁRIA ")&amp; Versao</f>
        <v>PLANILHA MÚLTIPLA v3.0.5</v>
      </c>
      <c r="F2" s="579"/>
      <c r="G2" s="579"/>
      <c r="H2" s="458"/>
      <c r="I2" s="456"/>
      <c r="J2" t="s">
        <v>439</v>
      </c>
    </row>
    <row r="3" spans="1:15" ht="22.5" customHeight="1" x14ac:dyDescent="0.2">
      <c r="A3" s="454"/>
      <c r="B3" s="456"/>
      <c r="C3" s="456"/>
      <c r="D3" s="456"/>
      <c r="E3" s="579"/>
      <c r="F3" s="579"/>
      <c r="G3" s="579"/>
      <c r="H3" s="458"/>
      <c r="I3" s="456"/>
      <c r="O3" s="463">
        <v>1</v>
      </c>
    </row>
    <row r="4" spans="1:15" ht="17.100000000000001" customHeight="1" x14ac:dyDescent="0.2">
      <c r="A4" s="454"/>
      <c r="B4" s="456"/>
      <c r="C4" s="456"/>
      <c r="D4" s="456"/>
      <c r="E4" s="456"/>
      <c r="F4" s="457"/>
      <c r="G4" s="458"/>
      <c r="H4" s="458"/>
      <c r="I4" s="456"/>
      <c r="O4" s="463">
        <v>1</v>
      </c>
    </row>
    <row r="5" spans="1:15" ht="17.100000000000001" customHeight="1" thickBot="1" x14ac:dyDescent="0.25">
      <c r="A5" s="454"/>
      <c r="B5" s="456"/>
      <c r="C5" s="456"/>
      <c r="D5" s="456"/>
      <c r="E5" s="456"/>
      <c r="F5" s="457"/>
      <c r="G5" s="458"/>
      <c r="H5" s="458"/>
      <c r="I5" s="456"/>
      <c r="J5" s="481" t="s">
        <v>409</v>
      </c>
    </row>
    <row r="6" spans="1:15" ht="21" customHeight="1" thickBot="1" x14ac:dyDescent="0.25">
      <c r="A6" s="454"/>
      <c r="B6" s="454"/>
      <c r="C6" s="454"/>
      <c r="D6" s="454"/>
      <c r="E6" s="459" t="s">
        <v>402</v>
      </c>
      <c r="F6" s="455"/>
      <c r="G6" s="459" t="s">
        <v>403</v>
      </c>
      <c r="H6" s="454"/>
      <c r="I6" s="454"/>
      <c r="J6" s="481" t="s">
        <v>1</v>
      </c>
    </row>
    <row r="7" spans="1:15" x14ac:dyDescent="0.2">
      <c r="A7" s="454"/>
      <c r="B7" s="454"/>
      <c r="C7" s="454"/>
      <c r="D7" s="454"/>
      <c r="E7" s="454"/>
      <c r="F7" s="454"/>
      <c r="G7" s="454"/>
      <c r="H7" s="454"/>
      <c r="I7" s="454"/>
      <c r="J7" s="481" t="s">
        <v>366</v>
      </c>
      <c r="K7" s="471"/>
      <c r="L7" s="472"/>
      <c r="M7" s="472"/>
      <c r="N7" s="473"/>
    </row>
    <row r="8" spans="1:15" ht="21" customHeight="1" x14ac:dyDescent="0.2">
      <c r="A8" s="456"/>
      <c r="B8" s="578" t="str">
        <f>IF($O$3&lt;&gt;2,"DOCUMENTAÇÃO DA PROPOSTA","PROPOSTA: Para visualizar/preencher esta seção, altere o TIPO DE ORÇAMENTO para 'Proposto'")</f>
        <v>DOCUMENTAÇÃO DA PROPOSTA</v>
      </c>
      <c r="C8" s="578"/>
      <c r="D8" s="578"/>
      <c r="E8" s="578"/>
      <c r="F8" s="578"/>
      <c r="G8" s="578"/>
      <c r="H8" s="578"/>
      <c r="I8" s="454"/>
      <c r="J8" s="481" t="s">
        <v>4</v>
      </c>
      <c r="K8" s="474"/>
      <c r="L8" s="475" t="s">
        <v>404</v>
      </c>
      <c r="M8" s="475"/>
      <c r="N8" s="476"/>
    </row>
    <row r="9" spans="1:15" ht="13.5" thickBot="1" x14ac:dyDescent="0.25">
      <c r="A9" s="454"/>
      <c r="B9" s="454"/>
      <c r="C9" s="454"/>
      <c r="D9" s="454"/>
      <c r="E9" s="454"/>
      <c r="F9" s="454"/>
      <c r="G9" s="454"/>
      <c r="H9" s="454"/>
      <c r="I9" s="454"/>
      <c r="K9" s="474"/>
      <c r="L9" t="s">
        <v>407</v>
      </c>
      <c r="N9" s="476"/>
    </row>
    <row r="10" spans="1:15" ht="21" customHeight="1" thickBot="1" x14ac:dyDescent="0.25">
      <c r="A10" s="454"/>
      <c r="B10" s="454"/>
      <c r="C10" s="462" t="str">
        <f>IF(TIPOORCAMENTO&lt;&gt;"Proposto","","                    BDI                    ")</f>
        <v xml:space="preserve">                    BDI                    </v>
      </c>
      <c r="D10" s="455"/>
      <c r="E10" s="462" t="str">
        <f>IF(TIPOORCAMENTO&lt;&gt;"Proposto","","             ORÇAMENTO             ")</f>
        <v xml:space="preserve">             ORÇAMENTO             </v>
      </c>
      <c r="F10" s="455"/>
      <c r="G10" s="461" t="str">
        <f>IF(TIPOORCAMENTO&lt;&gt;"Proposto","","MEMÓRIA DE CÁLCULO / PLQ")</f>
        <v>MEMÓRIA DE CÁLCULO / PLQ</v>
      </c>
      <c r="H10" s="454"/>
      <c r="I10" s="454"/>
      <c r="K10" s="474"/>
      <c r="L10" s="5"/>
      <c r="M10" s="3"/>
      <c r="N10" s="477" t="s">
        <v>2</v>
      </c>
    </row>
    <row r="11" spans="1:15" ht="13.5" thickBot="1" x14ac:dyDescent="0.25">
      <c r="A11" s="454"/>
      <c r="B11" s="454"/>
      <c r="C11" s="455"/>
      <c r="D11" s="455"/>
      <c r="E11" s="455"/>
      <c r="F11" s="455"/>
      <c r="G11" s="455"/>
      <c r="H11" s="454"/>
      <c r="I11" s="454"/>
      <c r="K11" s="474"/>
      <c r="N11" s="476"/>
    </row>
    <row r="12" spans="1:15" ht="21" customHeight="1" thickBot="1" x14ac:dyDescent="0.25">
      <c r="A12" s="454"/>
      <c r="B12" s="454"/>
      <c r="C12" s="462" t="str">
        <f>IF(TIPOORCAMENTO&lt;&gt;"Proposto","","                    QCI                    ")</f>
        <v xml:space="preserve">                    QCI                    </v>
      </c>
      <c r="D12" s="455"/>
      <c r="E12" s="460" t="str">
        <f>IF(TIPOORCAMENTO&lt;&gt;"Proposto","","CRONOGRAMA FÍSICO-FINANCEIRO")</f>
        <v>CRONOGRAMA FÍSICO-FINANCEIRO</v>
      </c>
      <c r="F12" s="455"/>
      <c r="G12" s="455"/>
      <c r="H12" s="454"/>
      <c r="I12" s="454"/>
      <c r="K12" s="474"/>
      <c r="L12" s="6"/>
      <c r="M12" s="3"/>
      <c r="N12" s="477" t="s">
        <v>3</v>
      </c>
    </row>
    <row r="13" spans="1:15" x14ac:dyDescent="0.2">
      <c r="A13" s="454"/>
      <c r="B13" s="454"/>
      <c r="C13" s="454"/>
      <c r="D13" s="454"/>
      <c r="E13" s="454"/>
      <c r="F13" s="454"/>
      <c r="G13" s="454"/>
      <c r="H13" s="454"/>
      <c r="I13" s="454"/>
      <c r="K13" s="474"/>
      <c r="N13" s="476"/>
    </row>
    <row r="14" spans="1:15" x14ac:dyDescent="0.2">
      <c r="A14" s="454"/>
      <c r="B14" s="454"/>
      <c r="C14" s="454" t="str">
        <f ca="1">IF(TIPOORCAMENTO&lt;&gt;"Proposto","","Obs: Composições e Cotações devem ser preenchidas diretamente no arquivo Referência "&amp;IF(ISBLANK(Import.DataBase),"mm-aaaa",TEXT(Import.DataBase,"mm-aaaa"))&amp;".xls.")</f>
        <v>Obs: Composições e Cotações devem ser preenchidas diretamente no arquivo Referência 04-2024.xls.</v>
      </c>
      <c r="D14" s="454"/>
      <c r="E14" s="454"/>
      <c r="F14" s="454"/>
      <c r="G14" s="454"/>
      <c r="H14" s="454"/>
      <c r="I14" s="454"/>
      <c r="K14" s="474"/>
      <c r="N14" s="476"/>
    </row>
    <row r="15" spans="1:15" x14ac:dyDescent="0.2">
      <c r="A15" s="454"/>
      <c r="B15" s="454"/>
      <c r="C15" s="454"/>
      <c r="D15" s="454"/>
      <c r="E15" s="454"/>
      <c r="F15" s="454"/>
      <c r="G15" s="454"/>
      <c r="H15" s="454"/>
      <c r="I15" s="454"/>
      <c r="K15" s="474"/>
      <c r="L15" t="s">
        <v>408</v>
      </c>
      <c r="N15" s="476"/>
    </row>
    <row r="16" spans="1:15" ht="21" customHeight="1" x14ac:dyDescent="0.2">
      <c r="A16" s="454"/>
      <c r="B16" s="578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578"/>
      <c r="D16" s="578"/>
      <c r="E16" s="578"/>
      <c r="F16" s="578"/>
      <c r="G16" s="578"/>
      <c r="H16" s="578"/>
      <c r="I16" s="454"/>
      <c r="K16" s="474"/>
      <c r="L16" s="469"/>
      <c r="M16" s="3"/>
      <c r="N16" s="477" t="s">
        <v>405</v>
      </c>
    </row>
    <row r="17" spans="1:14" ht="13.5" thickBot="1" x14ac:dyDescent="0.25">
      <c r="A17" s="454"/>
      <c r="B17" s="454"/>
      <c r="C17" s="454"/>
      <c r="D17" s="454"/>
      <c r="E17" s="454"/>
      <c r="F17" s="454"/>
      <c r="G17" s="454"/>
      <c r="H17" s="454"/>
      <c r="I17" s="454"/>
      <c r="K17" s="474"/>
      <c r="N17" s="476"/>
    </row>
    <row r="18" spans="1:14" ht="21" customHeight="1" thickBot="1" x14ac:dyDescent="0.25">
      <c r="A18" s="454"/>
      <c r="B18" s="454"/>
      <c r="C18" s="465" t="str">
        <f>IF(TIPOORCAMENTO&lt;&gt;"Licitado","","             ORÇAMENTO             ")</f>
        <v/>
      </c>
      <c r="D18" s="455"/>
      <c r="E18" s="465" t="str">
        <f>IF(TIPOORCAMENTO&lt;&gt;"Licitado","","                    QCI                    ")</f>
        <v/>
      </c>
      <c r="F18" s="455"/>
      <c r="G18" s="464" t="str">
        <f>IF(TIPOORCAMENTO&lt;&gt;"Licitado","","CRONOGRAMA FÍSICO-FINANCEIRO")</f>
        <v/>
      </c>
      <c r="H18" s="454"/>
      <c r="I18" s="454"/>
      <c r="K18" s="474"/>
      <c r="L18" s="470"/>
      <c r="M18" s="3"/>
      <c r="N18" s="477" t="s">
        <v>406</v>
      </c>
    </row>
    <row r="19" spans="1:14" x14ac:dyDescent="0.2">
      <c r="A19" s="454"/>
      <c r="B19" s="454"/>
      <c r="C19" s="454"/>
      <c r="D19" s="454"/>
      <c r="E19" s="454"/>
      <c r="F19" s="454"/>
      <c r="G19" s="454"/>
      <c r="H19" s="454"/>
      <c r="I19" s="454"/>
      <c r="K19" s="478"/>
      <c r="L19" s="479"/>
      <c r="M19" s="479"/>
      <c r="N19" s="480"/>
    </row>
    <row r="20" spans="1:14" ht="21" customHeight="1" x14ac:dyDescent="0.2">
      <c r="A20" s="456"/>
      <c r="B20" s="578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578"/>
      <c r="D20" s="578"/>
      <c r="E20" s="578"/>
      <c r="F20" s="578"/>
      <c r="G20" s="578"/>
      <c r="H20" s="578"/>
      <c r="I20" s="454"/>
    </row>
    <row r="21" spans="1:14" ht="13.5" thickBot="1" x14ac:dyDescent="0.25">
      <c r="A21" s="454"/>
      <c r="B21" s="454"/>
      <c r="C21" s="454"/>
      <c r="D21" s="454"/>
      <c r="E21" s="454"/>
      <c r="F21" s="454"/>
      <c r="G21" s="454"/>
      <c r="H21" s="454"/>
      <c r="I21" s="454"/>
    </row>
    <row r="22" spans="1:14" ht="21" customHeight="1" thickBot="1" x14ac:dyDescent="0.25">
      <c r="A22" s="454"/>
      <c r="B22" s="454"/>
      <c r="C22" s="466" t="str">
        <f>IF(OR(TIPOORCAMENTO&lt;&gt;"Licitado",ACOMPANHAMENTO&lt;&gt;"PLE"),"","PLAN. DE LEVANT. DE EVENTOS - PLE")</f>
        <v/>
      </c>
      <c r="D22" s="455"/>
      <c r="E22" s="468" t="str">
        <f>IF(TIPOORCAMENTO&lt;&gt;"Licitado","","                    RRE                    ")</f>
        <v/>
      </c>
      <c r="F22" s="455"/>
      <c r="G22" s="467" t="str">
        <f>IF(OR(TIPOORCAMENTO&lt;&gt;"Licitado",ACOMPANHAMENTO&lt;&gt;"BM"),"","  BOLETIM DE MEDIÇÃO - BM  ")</f>
        <v/>
      </c>
      <c r="H22" s="454"/>
      <c r="I22" s="454"/>
    </row>
    <row r="23" spans="1:14" ht="13.5" thickBot="1" x14ac:dyDescent="0.25">
      <c r="A23" s="454"/>
      <c r="B23" s="454"/>
      <c r="C23" s="455"/>
      <c r="D23" s="455"/>
      <c r="E23" s="455"/>
      <c r="F23" s="455"/>
      <c r="G23" s="455"/>
      <c r="H23" s="454"/>
      <c r="I23" s="454"/>
    </row>
    <row r="24" spans="1:14" ht="21" customHeight="1" thickBot="1" x14ac:dyDescent="0.25">
      <c r="A24" s="454"/>
      <c r="B24" s="454"/>
      <c r="C24" s="455"/>
      <c r="D24" s="455"/>
      <c r="E24" s="466" t="str">
        <f>IF(TIPOORCAMENTO&lt;&gt;"Licitado","","OF. DE SOLICITAÇÃO DE DESBLOQUEIO")</f>
        <v/>
      </c>
      <c r="F24" s="455"/>
      <c r="G24" s="455"/>
      <c r="H24" s="454"/>
      <c r="I24" s="454"/>
    </row>
    <row r="25" spans="1:14" x14ac:dyDescent="0.2">
      <c r="A25" s="454"/>
      <c r="B25" s="454"/>
      <c r="C25" s="454"/>
      <c r="D25" s="454"/>
      <c r="E25" s="454"/>
      <c r="F25" s="454"/>
      <c r="G25" s="454"/>
      <c r="H25" s="454"/>
      <c r="I25" s="454"/>
    </row>
  </sheetData>
  <sheetProtection password="BD1F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308" priority="70" stopIfTrue="1">
      <formula>TIPOORCAMENTO="Licitado"</formula>
    </cfRule>
  </conditionalFormatting>
  <conditionalFormatting sqref="C18:G18 E22:E24">
    <cfRule type="expression" dxfId="307" priority="71" stopIfTrue="1">
      <formula>TIPOORCAMENTO&lt;&gt;"Licitado"</formula>
    </cfRule>
  </conditionalFormatting>
  <conditionalFormatting sqref="C22">
    <cfRule type="expression" dxfId="306" priority="73" stopIfTrue="1">
      <formula>OR(TIPOORCAMENTO&lt;&gt;"Licitado",ACOMPANHAMENTO&lt;&gt;"PLE")</formula>
    </cfRule>
  </conditionalFormatting>
  <conditionalFormatting sqref="G22">
    <cfRule type="expression" dxfId="305" priority="74" stopIfTrue="1">
      <formula>OR(TIPOORCAMENTO&lt;&gt;"Licitado",ACOMPANHAMENTO&lt;&gt;"BM")</formula>
    </cfRule>
  </conditionalFormatting>
  <conditionalFormatting sqref="B16:H16 B20:H20">
    <cfRule type="expression" dxfId="304" priority="599" stopIfTrue="1">
      <formula>$O$3&lt;&gt;2</formula>
    </cfRule>
  </conditionalFormatting>
  <conditionalFormatting sqref="B8:H8">
    <cfRule type="expression" dxfId="303" priority="601" stopIfTrue="1">
      <formula>$O$3&lt;&gt;1</formula>
    </cfRule>
  </conditionalFormatting>
  <hyperlinks>
    <hyperlink ref="E6" location="DADOS!E3" display="DADOS DO CONTRATO"/>
    <hyperlink ref="G6" location="Novo!A1" display="NOVIDADES DA VERSÃO"/>
    <hyperlink ref="C10" location="BDI!Q11" display="BDI!Q11"/>
    <hyperlink ref="E10" location="ORÇAMENTO!M13" display="ORÇAMENTO"/>
    <hyperlink ref="G10" location="CÁLCULO!D13" display="MEMÓRIA DE CÁLCULO / PLQ"/>
    <hyperlink ref="E12" location="CRONO!G12" display="CRONOGRAMA FÍSICO-FINANCEIRO"/>
    <hyperlink ref="C18" location="ORÇAMENTO!AM15" display="             ORÇAMENTO             "/>
    <hyperlink ref="E18" location="QCI!D13" display="                    QCI                    "/>
    <hyperlink ref="G18" location="CRONO!G12" display="CRONOGRAMA FÍSICO-FINANCEIRO"/>
    <hyperlink ref="C22" location="PLE!J8" display="PLAN. DE LEVANT. DE EVENTOS - PLE"/>
    <hyperlink ref="E22" location="RRE!E13" display="                    RRE                    "/>
    <hyperlink ref="G22" location="BM!D13" display="BM!D13"/>
    <hyperlink ref="E24" location="Ofício!C6" display="OF. DE SOLICITAÇÃO DE DESBLOQUEIO"/>
    <hyperlink ref="C12" location="QCI!D13" display="QCI!D13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&amp;LPMv3.0.4&amp;R&amp;P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1323975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1457325</xdr:colOff>
                    <xdr:row>4</xdr:row>
                    <xdr:rowOff>161925</xdr:rowOff>
                  </from>
                  <to>
                    <xdr:col>2</xdr:col>
                    <xdr:colOff>2409825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1228725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1076325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/>
  <dimension ref="A1:AG35"/>
  <sheetViews>
    <sheetView showGridLines="0" zoomScale="90" zoomScaleNormal="90" zoomScaleSheetLayoutView="100" workbookViewId="0">
      <pane xSplit="4" ySplit="13" topLeftCell="E17" activePane="bottomRight" state="frozen"/>
      <selection pane="topRight" activeCell="E1" sqref="E1"/>
      <selection pane="bottomLeft" activeCell="A13" sqref="A13"/>
      <selection pane="bottomRight" activeCell="A19" sqref="A19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32" width="5.7109375" customWidth="1"/>
    <col min="33" max="33" width="0.140625" customWidth="1"/>
  </cols>
  <sheetData>
    <row r="1" spans="1:33" hidden="1" x14ac:dyDescent="0.2">
      <c r="A1" s="7" t="e">
        <f ca="1">IF(AUTOEVENTO="Manual",IF(OFFSET(EVENTOS!$F$14,PLE!$B1,0)&gt;0,"F",""),IF(PLE!B1&lt;=MAX(CÁLCULO!$M$15:$M$32),"F",""))</f>
        <v>#REF!</v>
      </c>
      <c r="B1" s="286" t="e">
        <f ca="1">OFFSET(B1,-1,0)+1</f>
        <v>#REF!</v>
      </c>
      <c r="C1" s="647" t="e">
        <f ca="1">IF(AUTOEVENTO="Manual",IF($B1&lt;&gt;1,OFFSET(EVENTOS!$D$14,$B1,0),0),IF(B1&lt;=MAX(CÁLCULO!$M$15:$M$32),VLOOKUP($B1,CÁLCULO!$M$15:$N$32,2,FALSE),0))</f>
        <v>#REF!</v>
      </c>
      <c r="D1" s="647"/>
      <c r="F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</row>
    <row r="2" spans="1:33" hidden="1" x14ac:dyDescent="0.2">
      <c r="A2" s="7"/>
      <c r="B2" s="7"/>
      <c r="C2" s="13"/>
      <c r="D2" s="13"/>
      <c r="F2" s="526"/>
    </row>
    <row r="3" spans="1:33" ht="15.75" x14ac:dyDescent="0.25">
      <c r="H3" s="228" t="s">
        <v>295</v>
      </c>
      <c r="AD3" s="583" t="s">
        <v>141</v>
      </c>
      <c r="AE3" s="583"/>
      <c r="AF3" s="583"/>
    </row>
    <row r="4" spans="1:33" ht="15.75" x14ac:dyDescent="0.2">
      <c r="B4" s="83"/>
      <c r="C4" s="83"/>
      <c r="H4" s="84" t="str">
        <f>import.recurso</f>
        <v>OGU</v>
      </c>
      <c r="AD4" s="584" t="s">
        <v>144</v>
      </c>
      <c r="AE4" s="584"/>
      <c r="AF4" s="584"/>
    </row>
    <row r="6" spans="1:33" x14ac:dyDescent="0.2">
      <c r="B6" s="230" t="s">
        <v>147</v>
      </c>
      <c r="C6" s="303"/>
      <c r="D6" s="232" t="s">
        <v>148</v>
      </c>
      <c r="E6" s="4"/>
      <c r="H6" s="233" t="s">
        <v>274</v>
      </c>
      <c r="I6" s="204"/>
      <c r="J6" s="204"/>
      <c r="K6" s="204"/>
      <c r="L6" s="203"/>
      <c r="M6" s="203"/>
      <c r="N6" s="304"/>
      <c r="O6" s="230" t="s">
        <v>275</v>
      </c>
      <c r="P6" s="234"/>
      <c r="R6" s="204"/>
      <c r="S6" s="204"/>
      <c r="T6" s="204"/>
      <c r="U6" s="231"/>
      <c r="V6" s="230" t="str">
        <f>IF(TIPOORCAMENTO="Licitado","NOME DA EMPRESA","DESCRIÇÃO DO LOTE")</f>
        <v>DESCRIÇÃO DO LOTE</v>
      </c>
      <c r="W6" s="204"/>
      <c r="X6" s="204"/>
      <c r="Y6" s="204"/>
      <c r="AD6" s="4"/>
      <c r="AE6" s="648" t="str">
        <f>IF(TIPOORCAMENTO="Licitado","Nº CTEF","")</f>
        <v/>
      </c>
      <c r="AF6" s="648"/>
    </row>
    <row r="7" spans="1:33" x14ac:dyDescent="0.2">
      <c r="B7" s="634">
        <f>Import.CR</f>
        <v>0</v>
      </c>
      <c r="C7" s="634"/>
      <c r="D7" s="236">
        <f>Import.SICONV</f>
        <v>0</v>
      </c>
      <c r="E7" s="43"/>
      <c r="H7" s="644" t="str">
        <f>Import.Proponente</f>
        <v>Prefeitura Municipal de Caçapava do Sul</v>
      </c>
      <c r="I7" s="644"/>
      <c r="J7" s="644"/>
      <c r="K7" s="644"/>
      <c r="L7" s="644"/>
      <c r="M7" s="644"/>
      <c r="N7" s="644"/>
      <c r="O7" s="634" t="str">
        <f>Import.Apelido</f>
        <v>Calçamento da Rua Tomé Medeiros</v>
      </c>
      <c r="P7" s="634"/>
      <c r="Q7" s="634"/>
      <c r="R7" s="634"/>
      <c r="S7" s="634"/>
      <c r="T7" s="634"/>
      <c r="U7" s="634"/>
      <c r="V7" s="634" t="str">
        <f>IF(TIPOORCAMENTO="Licitado",Import.empresa,Import.DescLote)</f>
        <v>Lote Único - Empreitada Preço Global</v>
      </c>
      <c r="W7" s="634"/>
      <c r="X7" s="634"/>
      <c r="Y7" s="634"/>
      <c r="Z7" s="634"/>
      <c r="AA7" s="634"/>
      <c r="AB7" s="634"/>
      <c r="AC7" s="634"/>
      <c r="AD7" s="634"/>
      <c r="AE7" s="649" t="str">
        <f>IF(TIPOORCAMENTO="Licitado",Import.CTEF,"")</f>
        <v/>
      </c>
      <c r="AF7" s="649"/>
      <c r="AG7" s="305"/>
    </row>
    <row r="9" spans="1:33" ht="15.75" x14ac:dyDescent="0.25">
      <c r="A9" s="453">
        <v>0</v>
      </c>
      <c r="B9" s="306"/>
      <c r="C9" s="306"/>
      <c r="I9" s="307" t="s">
        <v>296</v>
      </c>
      <c r="J9" s="654">
        <v>1</v>
      </c>
      <c r="K9" s="654"/>
      <c r="M9" s="307" t="s">
        <v>285</v>
      </c>
      <c r="N9" s="655" t="str">
        <f ca="1">TEXT(IF(PLE.Medicao=1,Import.DataInicioObra,OFFSET($H$23,0,1+(PLE.Medicao-$I$24)*2-2)+1),"dd/mm/aaaa")&amp;" a "&amp;TEXT(OFFSET($H$23,0,1+(PLE.Medicao-$I$24)*2),"dd/mm/aaaa")</f>
        <v>01/07/2024 a 00/01/1900</v>
      </c>
      <c r="O9" s="655"/>
      <c r="P9" s="655"/>
      <c r="Q9" s="655"/>
      <c r="R9" s="655"/>
      <c r="S9" s="655"/>
      <c r="T9" s="655"/>
      <c r="U9" s="308"/>
      <c r="X9" s="307" t="s">
        <v>297</v>
      </c>
      <c r="Y9" s="659" t="e">
        <f ca="1">OFFSET($I$24,1+8*(ROUNDUP(($J$9-0)/((COLUMN($AG$14)-COLUMN($G$14)-1)/25*12),0)-1),ROUNDDOWN((($J$9-0)-OFFSET($I$24,8*(ROUNDUP(($J$9-0)/((COLUMN($AG$14)-COLUMN($G$14)-1)/25*12),0)-1),0))*(2+1/12),0))</f>
        <v>#DIV/0!</v>
      </c>
      <c r="Z9" s="659"/>
      <c r="AD9" s="307" t="s">
        <v>298</v>
      </c>
      <c r="AE9" s="659" t="e">
        <f ca="1">OFFSET($I$24,3+8*(ROUNDUP(($J$9-0)/((COLUMN($AG$14)-COLUMN($G$14)-1)/25*12),0)-1),ROUNDDOWN((($J$9-0)-OFFSET($I$24,8*(ROUNDUP(($J$9-0)/((COLUMN($AG$14)-COLUMN($G$14)-1)/25*12),0)-1),0))*(2+1/12),0))</f>
        <v>#DIV/0!</v>
      </c>
      <c r="AF9" s="659"/>
    </row>
    <row r="11" spans="1:33" ht="65.25" customHeight="1" x14ac:dyDescent="0.2">
      <c r="A11" s="290" t="s">
        <v>292</v>
      </c>
      <c r="C11" s="656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656"/>
      <c r="F11" s="292" t="str">
        <f ca="1">IF(F$12&gt;CÁLCULO.NúmeroDeFrentes,"",OFFSET(CÁLCULO!$P$12,0,F$12))</f>
        <v>SERVIÇOS PRELIMINARES</v>
      </c>
      <c r="H11" s="292" t="str">
        <f ca="1">IF(H$12&gt;CÁLCULO.NúmeroDeFrentes,"",OFFSET(CÁLCULO!$P$12,0,H$12))</f>
        <v>SERVIÇOS PRELIMINARES</v>
      </c>
      <c r="I11" s="292" t="str">
        <f ca="1">IF(I$12&gt;CÁLCULO.NúmeroDeFrentes,"",OFFSET(CÁLCULO!$P$12,0,I$12))</f>
        <v xml:space="preserve">TRECHO DE INTERVENÇÃO  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>
        <f ca="1">IF(Q$12&gt;CÁLCULO.NúmeroDeFrentes,"",OFFSET(CÁLCULO!$P$12,0,Q$12))</f>
        <v>0</v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  <c r="AF11" s="292" t="str">
        <f ca="1">IF(AF$12&gt;CÁLCULO.NúmeroDeFrentes,"",OFFSET(CÁLCULO!$P$12,0,AF$12))</f>
        <v/>
      </c>
    </row>
    <row r="12" spans="1:33" ht="12.75" customHeight="1" x14ac:dyDescent="0.2">
      <c r="A12" s="108" t="s">
        <v>219</v>
      </c>
      <c r="B12" s="646" t="s">
        <v>268</v>
      </c>
      <c r="C12" s="646" t="s">
        <v>293</v>
      </c>
      <c r="D12" s="646"/>
      <c r="F12" s="293">
        <f ca="1">OFFSET(F12,0,-1)+1</f>
        <v>1</v>
      </c>
      <c r="H12" s="293">
        <f ca="1">OFFSET(H12,0,-1)+1</f>
        <v>1</v>
      </c>
      <c r="I12" s="293">
        <f ca="1">OFFSET(I12,0,-1)+1</f>
        <v>2</v>
      </c>
      <c r="J12" s="293">
        <f t="shared" ref="J12:AF12" ca="1" si="0">OFFSET(J12,0,-1)+1</f>
        <v>3</v>
      </c>
      <c r="K12" s="293">
        <f t="shared" ca="1" si="0"/>
        <v>4</v>
      </c>
      <c r="L12" s="293">
        <f t="shared" ca="1" si="0"/>
        <v>5</v>
      </c>
      <c r="M12" s="293">
        <f t="shared" ca="1" si="0"/>
        <v>6</v>
      </c>
      <c r="N12" s="293">
        <f t="shared" ca="1" si="0"/>
        <v>7</v>
      </c>
      <c r="O12" s="293">
        <f t="shared" ca="1" si="0"/>
        <v>8</v>
      </c>
      <c r="P12" s="293">
        <f t="shared" ca="1" si="0"/>
        <v>9</v>
      </c>
      <c r="Q12" s="293">
        <f t="shared" ca="1" si="0"/>
        <v>10</v>
      </c>
      <c r="R12" s="293">
        <f t="shared" ca="1" si="0"/>
        <v>11</v>
      </c>
      <c r="S12" s="293">
        <f t="shared" ca="1" si="0"/>
        <v>12</v>
      </c>
      <c r="T12" s="293">
        <f t="shared" ca="1" si="0"/>
        <v>13</v>
      </c>
      <c r="U12" s="293">
        <f t="shared" ca="1" si="0"/>
        <v>14</v>
      </c>
      <c r="V12" s="293">
        <f t="shared" ca="1" si="0"/>
        <v>15</v>
      </c>
      <c r="W12" s="293">
        <f t="shared" ca="1" si="0"/>
        <v>16</v>
      </c>
      <c r="X12" s="293">
        <f t="shared" ca="1" si="0"/>
        <v>17</v>
      </c>
      <c r="Y12" s="293">
        <f t="shared" ca="1" si="0"/>
        <v>18</v>
      </c>
      <c r="Z12" s="293">
        <f t="shared" ca="1" si="0"/>
        <v>19</v>
      </c>
      <c r="AA12" s="293">
        <f t="shared" ca="1" si="0"/>
        <v>20</v>
      </c>
      <c r="AB12" s="293">
        <f t="shared" ca="1" si="0"/>
        <v>21</v>
      </c>
      <c r="AC12" s="293">
        <f t="shared" ca="1" si="0"/>
        <v>22</v>
      </c>
      <c r="AD12" s="293">
        <f t="shared" ca="1" si="0"/>
        <v>23</v>
      </c>
      <c r="AE12" s="293">
        <f t="shared" ca="1" si="0"/>
        <v>24</v>
      </c>
      <c r="AF12" s="293">
        <f t="shared" ca="1" si="0"/>
        <v>25</v>
      </c>
    </row>
    <row r="13" spans="1:33" x14ac:dyDescent="0.2">
      <c r="B13" s="646"/>
      <c r="C13" s="646"/>
      <c r="D13" s="646"/>
      <c r="F13" s="295"/>
      <c r="H13" s="295"/>
      <c r="I13" s="294"/>
      <c r="J13" s="294"/>
      <c r="K13" s="294"/>
      <c r="L13" s="294"/>
      <c r="M13" s="294"/>
      <c r="N13" s="294" t="s">
        <v>299</v>
      </c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6"/>
    </row>
    <row r="14" spans="1:33" ht="7.5" customHeight="1" x14ac:dyDescent="0.2">
      <c r="A14" s="7" t="s">
        <v>248</v>
      </c>
    </row>
    <row r="15" spans="1:33" x14ac:dyDescent="0.2">
      <c r="A15" s="7" t="str">
        <f ca="1">IF(AND(AUTOEVENTO="Manual",OFFSET(EVENTOS!$F$14,1,0)&gt;0),"F","")</f>
        <v/>
      </c>
      <c r="B15" s="297">
        <v>1</v>
      </c>
      <c r="C15" s="651" t="s">
        <v>271</v>
      </c>
      <c r="D15" s="651"/>
      <c r="F15" s="300"/>
      <c r="H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301"/>
    </row>
    <row r="16" spans="1:33" x14ac:dyDescent="0.2">
      <c r="A16" s="7" t="str">
        <f ca="1">IF(AUTOEVENTO="Manual",IF(OFFSET(EVENTOS!$F$14,PLE!$B16,0)&gt;0,"F",""),IF(PLE!B16&lt;=MAX(CÁLCULO!$M$15:$M$32),"F",""))</f>
        <v/>
      </c>
      <c r="B16" s="286">
        <f ca="1">OFFSET(B16,-1,0)+1</f>
        <v>2</v>
      </c>
      <c r="C16" s="647" t="str">
        <f ca="1">IF(AUTOEVENTO="Manual",IF($B16&lt;&gt;1,OFFSET(EVENTOS!$D$14,$B16,0),0),IF(B16&lt;=MAX(CÁLCULO!$M$15:$M$32),VLOOKUP($B16,CÁLCULO!$M$15:$N$32,2,FALSE),0))</f>
        <v>Serviços Preliminares</v>
      </c>
      <c r="D16" s="647"/>
      <c r="F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</row>
    <row r="17" spans="1:32" x14ac:dyDescent="0.2">
      <c r="A17" s="7" t="str">
        <f ca="1">IF(AUTOEVENTO="Manual",IF(OFFSET(EVENTOS!$F$14,PLE!$B17,0)&gt;0,"F",""),IF(PLE!B17&lt;=MAX(CÁLCULO!$M$15:$M$32),"F",""))</f>
        <v/>
      </c>
      <c r="B17" s="286">
        <f ca="1">OFFSET(B17,-1,0)+1</f>
        <v>3</v>
      </c>
      <c r="C17" s="647" t="str">
        <f ca="1">IF(AUTOEVENTO="Manual",IF($B17&lt;&gt;1,OFFSET(EVENTOS!$D$14,$B17,0),0),IF(B17&lt;=MAX(CÁLCULO!$M$15:$M$32),VLOOKUP($B17,CÁLCULO!$M$15:$N$32,2,FALSE),0))</f>
        <v xml:space="preserve">Terraplanagem </v>
      </c>
      <c r="D17" s="647"/>
      <c r="F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</row>
    <row r="18" spans="1:32" x14ac:dyDescent="0.2">
      <c r="A18" s="7" t="str">
        <f ca="1">IF(AUTOEVENTO="Manual",IF(OFFSET(EVENTOS!$F$14,PLE!$B18,0)&gt;0,"F",""),IF(PLE!B18&lt;=MAX(CÁLCULO!$M$15:$M$32),"F",""))</f>
        <v/>
      </c>
      <c r="B18" s="286">
        <f ca="1">OFFSET(B18,-1,0)+1</f>
        <v>4</v>
      </c>
      <c r="C18" s="647" t="str">
        <f ca="1">IF(AUTOEVENTO="Manual",IF($B18&lt;&gt;1,OFFSET(EVENTOS!$D$14,$B18,0),0),IF(B18&lt;=MAX(CÁLCULO!$M$15:$M$32),VLOOKUP($B18,CÁLCULO!$M$15:$N$32,2,FALSE),0))</f>
        <v>Pavimantação - Pista</v>
      </c>
      <c r="D18" s="647"/>
      <c r="F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</row>
    <row r="19" spans="1:32" s="573" customFormat="1" x14ac:dyDescent="0.2">
      <c r="A19" s="7" t="str">
        <f ca="1">IF(AUTOEVENTO="Manual",IF(OFFSET(EVENTOS!$F$14,PLE!$B19,0)&gt;0,"F",""),IF(PLE!B19&lt;=MAX(CÁLCULO!$M$15:$M$32),"F",""))</f>
        <v/>
      </c>
      <c r="B19" s="286">
        <f t="shared" ref="B19" ca="1" si="1">OFFSET(B19,-1,0)+1</f>
        <v>5</v>
      </c>
      <c r="C19" s="647" t="str">
        <f ca="1">IF(AUTOEVENTO="Manual",IF($B19&lt;&gt;1,OFFSET(EVENTOS!$D$14,$B19,0),0),IF(B19&lt;=MAX(CÁLCULO!$M$15:$M$32),VLOOKUP($B19,CÁLCULO!$M$15:$N$32,2,FALSE),0))</f>
        <v xml:space="preserve">Sinalização Vertical </v>
      </c>
      <c r="D19" s="647"/>
      <c r="F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</row>
    <row r="20" spans="1:32" ht="4.5" customHeight="1" x14ac:dyDescent="0.2">
      <c r="A20" s="7" t="s">
        <v>248</v>
      </c>
      <c r="B20" s="484"/>
      <c r="C20" s="485"/>
      <c r="D20" s="486"/>
      <c r="F20" s="138"/>
      <c r="H20" s="484"/>
      <c r="I20" s="485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  <c r="Y20" s="485"/>
      <c r="Z20" s="485"/>
      <c r="AA20" s="485"/>
      <c r="AB20" s="485"/>
      <c r="AC20" s="485"/>
      <c r="AD20" s="485"/>
      <c r="AE20" s="485"/>
      <c r="AF20" s="486"/>
    </row>
    <row r="21" spans="1:32" x14ac:dyDescent="0.2">
      <c r="A21" s="7" t="s">
        <v>248</v>
      </c>
    </row>
    <row r="22" spans="1:32" x14ac:dyDescent="0.2">
      <c r="A22" s="7" t="s">
        <v>248</v>
      </c>
      <c r="I22" s="657" t="s">
        <v>300</v>
      </c>
      <c r="J22" s="657"/>
      <c r="K22" s="657"/>
      <c r="L22" s="657"/>
      <c r="M22" s="657"/>
      <c r="N22" s="657"/>
      <c r="O22" s="657"/>
      <c r="P22" s="657"/>
      <c r="Q22" s="657"/>
      <c r="R22" s="657"/>
      <c r="S22" s="657"/>
      <c r="T22" s="657"/>
      <c r="U22" s="657"/>
      <c r="V22" s="657"/>
      <c r="W22" s="657"/>
      <c r="X22" s="657"/>
      <c r="Y22" s="657"/>
      <c r="Z22" s="657"/>
      <c r="AA22" s="657"/>
      <c r="AB22" s="657"/>
      <c r="AC22" s="657"/>
      <c r="AD22" s="657"/>
      <c r="AE22" s="657"/>
      <c r="AF22" s="657"/>
    </row>
    <row r="23" spans="1:32" x14ac:dyDescent="0.2">
      <c r="A23" s="7" t="s">
        <v>248</v>
      </c>
      <c r="I23" s="652"/>
      <c r="J23" s="650"/>
      <c r="K23" s="650"/>
      <c r="L23" s="650"/>
      <c r="M23" s="650"/>
      <c r="N23" s="650"/>
      <c r="O23" s="650"/>
      <c r="P23" s="650"/>
      <c r="Q23" s="650"/>
      <c r="R23" s="650"/>
      <c r="S23" s="650"/>
      <c r="T23" s="650"/>
      <c r="U23" s="650"/>
      <c r="V23" s="650"/>
      <c r="W23" s="650"/>
      <c r="X23" s="650"/>
      <c r="Y23" s="650"/>
      <c r="Z23" s="650"/>
      <c r="AA23" s="650"/>
      <c r="AB23" s="650"/>
      <c r="AC23" s="650"/>
      <c r="AD23" s="650"/>
      <c r="AE23" s="650"/>
      <c r="AF23" s="658"/>
    </row>
    <row r="24" spans="1:32" x14ac:dyDescent="0.2">
      <c r="A24" s="7" t="s">
        <v>248</v>
      </c>
      <c r="D24" s="309" t="s">
        <v>301</v>
      </c>
      <c r="I24" s="653">
        <f>IF(PLE.Medicao&lt;=12,1,TRUNC((PLE.Medicao - 2)/11,0) * 11 + 1)</f>
        <v>1</v>
      </c>
      <c r="J24" s="653"/>
      <c r="K24" s="653">
        <f>I24+1</f>
        <v>2</v>
      </c>
      <c r="L24" s="653"/>
      <c r="M24" s="653">
        <f>K24+1</f>
        <v>3</v>
      </c>
      <c r="N24" s="653"/>
      <c r="O24" s="653">
        <f>M24+1</f>
        <v>4</v>
      </c>
      <c r="P24" s="653"/>
      <c r="Q24" s="653">
        <f>O24+1</f>
        <v>5</v>
      </c>
      <c r="R24" s="653"/>
      <c r="S24" s="653">
        <f>Q24+1</f>
        <v>6</v>
      </c>
      <c r="T24" s="653"/>
      <c r="U24" s="653">
        <f>S24+1</f>
        <v>7</v>
      </c>
      <c r="V24" s="653"/>
      <c r="W24" s="653">
        <f>U24+1</f>
        <v>8</v>
      </c>
      <c r="X24" s="653"/>
      <c r="Y24" s="653">
        <f>W24+1</f>
        <v>9</v>
      </c>
      <c r="Z24" s="653"/>
      <c r="AA24" s="653">
        <f>Y24+1</f>
        <v>10</v>
      </c>
      <c r="AB24" s="653"/>
      <c r="AC24" s="653">
        <f>AA24+1</f>
        <v>11</v>
      </c>
      <c r="AD24" s="653"/>
      <c r="AE24" s="653">
        <f>AC24+1</f>
        <v>12</v>
      </c>
      <c r="AF24" s="653"/>
    </row>
    <row r="25" spans="1:32" x14ac:dyDescent="0.2">
      <c r="A25" s="7" t="s">
        <v>248</v>
      </c>
      <c r="D25" s="665" t="s">
        <v>285</v>
      </c>
      <c r="H25" s="310" t="s">
        <v>302</v>
      </c>
      <c r="I25" s="667" t="e">
        <f ca="1">ROUND(I26,2)/ORÇAMENTO!$X$15</f>
        <v>#DIV/0!</v>
      </c>
      <c r="J25" s="667"/>
      <c r="K25" s="660" t="e">
        <f ca="1">ROUND(K26,2)/ORÇAMENTO!$X$15</f>
        <v>#DIV/0!</v>
      </c>
      <c r="L25" s="660"/>
      <c r="M25" s="663" t="e">
        <f ca="1">ROUND(M26,2)/ORÇAMENTO!$X$15</f>
        <v>#DIV/0!</v>
      </c>
      <c r="N25" s="663"/>
      <c r="O25" s="660" t="e">
        <f ca="1">ROUND(O26,2)/ORÇAMENTO!$X$15</f>
        <v>#DIV/0!</v>
      </c>
      <c r="P25" s="660"/>
      <c r="Q25" s="663" t="e">
        <f ca="1">ROUND(Q26,2)/ORÇAMENTO!$X$15</f>
        <v>#DIV/0!</v>
      </c>
      <c r="R25" s="663"/>
      <c r="S25" s="660" t="e">
        <f ca="1">ROUND(S26,2)/ORÇAMENTO!$X$15</f>
        <v>#DIV/0!</v>
      </c>
      <c r="T25" s="660"/>
      <c r="U25" s="663" t="e">
        <f ca="1">ROUND(U26,2)/ORÇAMENTO!$X$15</f>
        <v>#DIV/0!</v>
      </c>
      <c r="V25" s="663"/>
      <c r="W25" s="660" t="e">
        <f ca="1">ROUND(W26,2)/ORÇAMENTO!$X$15</f>
        <v>#DIV/0!</v>
      </c>
      <c r="X25" s="660"/>
      <c r="Y25" s="663" t="e">
        <f ca="1">ROUND(Y26,2)/ORÇAMENTO!$X$15</f>
        <v>#DIV/0!</v>
      </c>
      <c r="Z25" s="663"/>
      <c r="AA25" s="660" t="e">
        <f ca="1">ROUND(AA26,2)/ORÇAMENTO!$X$15</f>
        <v>#DIV/0!</v>
      </c>
      <c r="AB25" s="660"/>
      <c r="AC25" s="663" t="e">
        <f ca="1">ROUND(AC26,2)/ORÇAMENTO!$X$15</f>
        <v>#DIV/0!</v>
      </c>
      <c r="AD25" s="663"/>
      <c r="AE25" s="660" t="e">
        <f ca="1">ROUND(AE26,2)/ORÇAMENTO!$X$15</f>
        <v>#DIV/0!</v>
      </c>
      <c r="AF25" s="660"/>
    </row>
    <row r="26" spans="1:32" x14ac:dyDescent="0.2">
      <c r="A26" s="7" t="s">
        <v>248</v>
      </c>
      <c r="D26" s="665"/>
      <c r="H26" s="12" t="s">
        <v>303</v>
      </c>
      <c r="I26" s="664" t="e">
        <f ca="1">IF(I24=1,I28,ROUND(I28,2)-ROUND(SUMIF(CÁLCULO!$AX$15:$BH$32,"&lt;="&amp;PLE!I24-1,CÁLCULO!$AB$15:$AL$32)*(1+CÁLCULO.TotalAdmLocal/(ORÇAMENTO!$X$15-CÁLCULO.TotalAdmLocal)),2))</f>
        <v>#DIV/0!</v>
      </c>
      <c r="J26" s="664"/>
      <c r="K26" s="664" t="e">
        <f ca="1">ROUND(K28,2)-ROUND(I28,2)</f>
        <v>#DIV/0!</v>
      </c>
      <c r="L26" s="664"/>
      <c r="M26" s="661" t="e">
        <f ca="1">ROUND(M28,2)-ROUND(K28,2)</f>
        <v>#DIV/0!</v>
      </c>
      <c r="N26" s="661"/>
      <c r="O26" s="664" t="e">
        <f ca="1">ROUND(O28,2)-ROUND(M28,2)</f>
        <v>#DIV/0!</v>
      </c>
      <c r="P26" s="664"/>
      <c r="Q26" s="661" t="e">
        <f ca="1">ROUND(Q28,2)-ROUND(O28,2)</f>
        <v>#DIV/0!</v>
      </c>
      <c r="R26" s="661"/>
      <c r="S26" s="664" t="e">
        <f ca="1">ROUND(S28,2)-ROUND(Q28,2)</f>
        <v>#DIV/0!</v>
      </c>
      <c r="T26" s="664"/>
      <c r="U26" s="661" t="e">
        <f ca="1">ROUND(U28,2)-ROUND(S28,2)</f>
        <v>#DIV/0!</v>
      </c>
      <c r="V26" s="661"/>
      <c r="W26" s="664" t="e">
        <f ca="1">ROUND(W28,2)-ROUND(U28,2)</f>
        <v>#DIV/0!</v>
      </c>
      <c r="X26" s="664"/>
      <c r="Y26" s="661" t="e">
        <f ca="1">ROUND(Y28,2)-ROUND(W28,2)</f>
        <v>#DIV/0!</v>
      </c>
      <c r="Z26" s="661"/>
      <c r="AA26" s="664" t="e">
        <f ca="1">ROUND(AA28,2)-ROUND(Y28,2)</f>
        <v>#DIV/0!</v>
      </c>
      <c r="AB26" s="664"/>
      <c r="AC26" s="661" t="e">
        <f ca="1">ROUND(AC28,2)-ROUND(AA28,2)</f>
        <v>#DIV/0!</v>
      </c>
      <c r="AD26" s="661"/>
      <c r="AE26" s="664" t="e">
        <f ca="1">ROUND(AE28,2)-ROUND(AC28,2)</f>
        <v>#DIV/0!</v>
      </c>
      <c r="AF26" s="664"/>
    </row>
    <row r="27" spans="1:32" x14ac:dyDescent="0.2">
      <c r="A27" s="7" t="s">
        <v>248</v>
      </c>
      <c r="D27" s="665" t="s">
        <v>289</v>
      </c>
      <c r="H27" s="310" t="s">
        <v>302</v>
      </c>
      <c r="I27" s="666" t="e">
        <f ca="1">ROUND(I28,2)/ORÇAMENTO!$X$15</f>
        <v>#DIV/0!</v>
      </c>
      <c r="J27" s="666"/>
      <c r="K27" s="662" t="e">
        <f ca="1">ROUND(K28,2)/ORÇAMENTO!$X$15</f>
        <v>#DIV/0!</v>
      </c>
      <c r="L27" s="662"/>
      <c r="M27" s="668" t="e">
        <f ca="1">ROUND(M28,2)/ORÇAMENTO!$X$15</f>
        <v>#DIV/0!</v>
      </c>
      <c r="N27" s="668"/>
      <c r="O27" s="662" t="e">
        <f ca="1">ROUND(O28,2)/ORÇAMENTO!$X$15</f>
        <v>#DIV/0!</v>
      </c>
      <c r="P27" s="662"/>
      <c r="Q27" s="668" t="e">
        <f ca="1">ROUND(Q28,2)/ORÇAMENTO!$X$15</f>
        <v>#DIV/0!</v>
      </c>
      <c r="R27" s="668"/>
      <c r="S27" s="662" t="e">
        <f ca="1">ROUND(S28,2)/ORÇAMENTO!$X$15</f>
        <v>#DIV/0!</v>
      </c>
      <c r="T27" s="662"/>
      <c r="U27" s="668" t="e">
        <f ca="1">ROUND(U28,2)/ORÇAMENTO!$X$15</f>
        <v>#DIV/0!</v>
      </c>
      <c r="V27" s="668"/>
      <c r="W27" s="662" t="e">
        <f ca="1">ROUND(W28,2)/ORÇAMENTO!$X$15</f>
        <v>#DIV/0!</v>
      </c>
      <c r="X27" s="662"/>
      <c r="Y27" s="668" t="e">
        <f ca="1">ROUND(Y28,2)/ORÇAMENTO!$X$15</f>
        <v>#DIV/0!</v>
      </c>
      <c r="Z27" s="668"/>
      <c r="AA27" s="662" t="e">
        <f ca="1">ROUND(AA28,2)/ORÇAMENTO!$X$15</f>
        <v>#DIV/0!</v>
      </c>
      <c r="AB27" s="662"/>
      <c r="AC27" s="668" t="e">
        <f ca="1">ROUND(AC28,2)/ORÇAMENTO!$X$15</f>
        <v>#DIV/0!</v>
      </c>
      <c r="AD27" s="668"/>
      <c r="AE27" s="662" t="e">
        <f ca="1">ROUND(AE28,2)/ORÇAMENTO!$X$15</f>
        <v>#DIV/0!</v>
      </c>
      <c r="AF27" s="662"/>
    </row>
    <row r="28" spans="1:32" x14ac:dyDescent="0.2">
      <c r="A28" s="7" t="s">
        <v>248</v>
      </c>
      <c r="D28" s="665"/>
      <c r="H28" s="12" t="s">
        <v>303</v>
      </c>
      <c r="I28" s="669" t="e">
        <f ca="1">SUMIF(CÁLCULO!$AX$15:$BH$32,"&lt;="&amp;PLE!I24,CÁLCULO!$AB$15:$AL$32)*(1+CÁLCULO.TotalAdmLocal/(ORÇAMENTO!$X$15-CÁLCULO.TotalAdmLocal))</f>
        <v>#DIV/0!</v>
      </c>
      <c r="J28" s="669"/>
      <c r="K28" s="664" t="e">
        <f ca="1">SUMIF(CÁLCULO!$AX$15:$BH$32,"&lt;="&amp;PLE!K24,CÁLCULO!$AB$15:$AL$32)*(1+CÁLCULO.TotalAdmLocal/(ORÇAMENTO!$X$15-CÁLCULO.TotalAdmLocal))</f>
        <v>#DIV/0!</v>
      </c>
      <c r="L28" s="664"/>
      <c r="M28" s="661" t="e">
        <f ca="1">SUMIF(CÁLCULO!$AX$15:$BH$32,"&lt;="&amp;PLE!M24,CÁLCULO!$AB$15:$AL$32)*(1+CÁLCULO.TotalAdmLocal/(ORÇAMENTO!$X$15-CÁLCULO.TotalAdmLocal))</f>
        <v>#DIV/0!</v>
      </c>
      <c r="N28" s="661"/>
      <c r="O28" s="664" t="e">
        <f ca="1">SUMIF(CÁLCULO!$AX$15:$BH$32,"&lt;="&amp;PLE!O24,CÁLCULO!$AB$15:$AL$32)*(1+CÁLCULO.TotalAdmLocal/(ORÇAMENTO!$X$15-CÁLCULO.TotalAdmLocal))</f>
        <v>#DIV/0!</v>
      </c>
      <c r="P28" s="664"/>
      <c r="Q28" s="661" t="e">
        <f ca="1">SUMIF(CÁLCULO!$AX$15:$BH$32,"&lt;="&amp;PLE!Q24,CÁLCULO!$AB$15:$AL$32)*(1+CÁLCULO.TotalAdmLocal/(ORÇAMENTO!$X$15-CÁLCULO.TotalAdmLocal))</f>
        <v>#DIV/0!</v>
      </c>
      <c r="R28" s="661"/>
      <c r="S28" s="664" t="e">
        <f ca="1">SUMIF(CÁLCULO!$AX$15:$BH$32,"&lt;="&amp;PLE!S24,CÁLCULO!$AB$15:$AL$32)*(1+CÁLCULO.TotalAdmLocal/(ORÇAMENTO!$X$15-CÁLCULO.TotalAdmLocal))</f>
        <v>#DIV/0!</v>
      </c>
      <c r="T28" s="664"/>
      <c r="U28" s="661" t="e">
        <f ca="1">SUMIF(CÁLCULO!$AX$15:$BH$32,"&lt;="&amp;PLE!U24,CÁLCULO!$AB$15:$AL$32)*(1+CÁLCULO.TotalAdmLocal/(ORÇAMENTO!$X$15-CÁLCULO.TotalAdmLocal))</f>
        <v>#DIV/0!</v>
      </c>
      <c r="V28" s="661"/>
      <c r="W28" s="664" t="e">
        <f ca="1">SUMIF(CÁLCULO!$AX$15:$BH$32,"&lt;="&amp;PLE!W24,CÁLCULO!$AB$15:$AL$32)*(1+CÁLCULO.TotalAdmLocal/(ORÇAMENTO!$X$15-CÁLCULO.TotalAdmLocal))</f>
        <v>#DIV/0!</v>
      </c>
      <c r="X28" s="664"/>
      <c r="Y28" s="661" t="e">
        <f ca="1">SUMIF(CÁLCULO!$AX$15:$BH$32,"&lt;="&amp;PLE!Y24,CÁLCULO!$AB$15:$AL$32)*(1+CÁLCULO.TotalAdmLocal/(ORÇAMENTO!$X$15-CÁLCULO.TotalAdmLocal))</f>
        <v>#DIV/0!</v>
      </c>
      <c r="Z28" s="661"/>
      <c r="AA28" s="664" t="e">
        <f ca="1">SUMIF(CÁLCULO!$AX$15:$BH$32,"&lt;="&amp;PLE!AA24,CÁLCULO!$AB$15:$AL$32)*(1+CÁLCULO.TotalAdmLocal/(ORÇAMENTO!$X$15-CÁLCULO.TotalAdmLocal))</f>
        <v>#DIV/0!</v>
      </c>
      <c r="AB28" s="664"/>
      <c r="AC28" s="661" t="e">
        <f ca="1">SUMIF(CÁLCULO!$AX$15:$BH$32,"&lt;="&amp;PLE!AC24,CÁLCULO!$AB$15:$AL$32)*(1+CÁLCULO.TotalAdmLocal/(ORÇAMENTO!$X$15-CÁLCULO.TotalAdmLocal))</f>
        <v>#DIV/0!</v>
      </c>
      <c r="AD28" s="661"/>
      <c r="AE28" s="664" t="e">
        <f ca="1">SUMIF(CÁLCULO!$AX$15:$BH$32,"&lt;="&amp;PLE!AE24,CÁLCULO!$AB$15:$AL$32)*(1+CÁLCULO.TotalAdmLocal/(ORÇAMENTO!$X$15-CÁLCULO.TotalAdmLocal))</f>
        <v>#DIV/0!</v>
      </c>
      <c r="AF28" s="664"/>
    </row>
    <row r="29" spans="1:32" ht="20.25" customHeight="1" x14ac:dyDescent="0.2">
      <c r="A29" s="7" t="s">
        <v>248</v>
      </c>
    </row>
    <row r="30" spans="1:32" ht="15" x14ac:dyDescent="0.2">
      <c r="A30" s="7" t="s">
        <v>248</v>
      </c>
      <c r="B30" s="617" t="str">
        <f>Import.Município</f>
        <v>Caçapava do Sul/RS</v>
      </c>
      <c r="C30" s="617"/>
      <c r="D30" s="617"/>
      <c r="U30" s="145"/>
      <c r="V30" s="145"/>
      <c r="W30" s="145"/>
      <c r="X30" s="145"/>
      <c r="Y30" s="193"/>
      <c r="Z30" s="193"/>
      <c r="AA30" s="193"/>
      <c r="AB30" s="193"/>
      <c r="AC30" s="193"/>
      <c r="AD30" s="193"/>
    </row>
    <row r="31" spans="1:32" x14ac:dyDescent="0.2">
      <c r="A31" s="7" t="s">
        <v>248</v>
      </c>
      <c r="B31" s="10" t="s">
        <v>190</v>
      </c>
      <c r="U31" s="194" t="s">
        <v>304</v>
      </c>
    </row>
    <row r="32" spans="1:32" x14ac:dyDescent="0.2">
      <c r="A32" s="7" t="s">
        <v>248</v>
      </c>
      <c r="I32" s="80"/>
      <c r="U32" s="78" t="s">
        <v>109</v>
      </c>
      <c r="W32" s="311">
        <f t="array" ref="W32:W35">Import.RespFiscalização</f>
        <v>0</v>
      </c>
    </row>
    <row r="33" spans="1:23" x14ac:dyDescent="0.2">
      <c r="A33" s="7" t="s">
        <v>248</v>
      </c>
      <c r="B33" s="612">
        <f ca="1">DADOS!$F$47</f>
        <v>45545</v>
      </c>
      <c r="C33" s="612"/>
      <c r="D33" s="612"/>
      <c r="I33" s="80"/>
      <c r="U33" s="78" t="s">
        <v>128</v>
      </c>
      <c r="W33" s="311">
        <v>0</v>
      </c>
    </row>
    <row r="34" spans="1:23" x14ac:dyDescent="0.2">
      <c r="A34" s="7" t="s">
        <v>248</v>
      </c>
      <c r="B34" s="146" t="s">
        <v>191</v>
      </c>
      <c r="C34" s="1"/>
      <c r="D34" s="1"/>
      <c r="I34" s="80"/>
      <c r="U34" s="78" t="s">
        <v>110</v>
      </c>
      <c r="W34" s="311">
        <v>0</v>
      </c>
    </row>
    <row r="35" spans="1:23" x14ac:dyDescent="0.2">
      <c r="U35" s="78" t="s">
        <v>111</v>
      </c>
      <c r="W35" s="13">
        <v>0</v>
      </c>
    </row>
  </sheetData>
  <sheetProtection password="BD1F" sheet="1" objects="1" scenarios="1" autoFilter="0"/>
  <autoFilter ref="A13:A34"/>
  <mergeCells count="98">
    <mergeCell ref="U23:V23"/>
    <mergeCell ref="K24:L24"/>
    <mergeCell ref="M26:N26"/>
    <mergeCell ref="AA26:AB26"/>
    <mergeCell ref="S26:T26"/>
    <mergeCell ref="O25:P25"/>
    <mergeCell ref="M25:N25"/>
    <mergeCell ref="Y25:Z25"/>
    <mergeCell ref="W25:X25"/>
    <mergeCell ref="Q25:R25"/>
    <mergeCell ref="O26:P26"/>
    <mergeCell ref="Q26:R26"/>
    <mergeCell ref="W26:X26"/>
    <mergeCell ref="U24:V24"/>
    <mergeCell ref="Y24:Z24"/>
    <mergeCell ref="AA24:AB24"/>
    <mergeCell ref="AC28:AD28"/>
    <mergeCell ref="AC27:AD27"/>
    <mergeCell ref="AE28:AF28"/>
    <mergeCell ref="Q28:R28"/>
    <mergeCell ref="Y28:Z28"/>
    <mergeCell ref="AA28:AB28"/>
    <mergeCell ref="AE27:AF27"/>
    <mergeCell ref="Q27:R27"/>
    <mergeCell ref="S28:T28"/>
    <mergeCell ref="W28:X28"/>
    <mergeCell ref="W27:X27"/>
    <mergeCell ref="U27:V27"/>
    <mergeCell ref="Y27:Z27"/>
    <mergeCell ref="U28:V28"/>
    <mergeCell ref="O28:P28"/>
    <mergeCell ref="S27:T27"/>
    <mergeCell ref="B33:D33"/>
    <mergeCell ref="B30:D30"/>
    <mergeCell ref="D27:D28"/>
    <mergeCell ref="M27:N27"/>
    <mergeCell ref="M28:N28"/>
    <mergeCell ref="I28:J28"/>
    <mergeCell ref="O27:P27"/>
    <mergeCell ref="D25:D26"/>
    <mergeCell ref="K28:L28"/>
    <mergeCell ref="K27:L27"/>
    <mergeCell ref="I27:J27"/>
    <mergeCell ref="K26:L26"/>
    <mergeCell ref="I26:J26"/>
    <mergeCell ref="K25:L25"/>
    <mergeCell ref="I25:J25"/>
    <mergeCell ref="W24:X24"/>
    <mergeCell ref="AE26:AF26"/>
    <mergeCell ref="AC25:AD25"/>
    <mergeCell ref="AC26:AD26"/>
    <mergeCell ref="AE25:AF25"/>
    <mergeCell ref="AC24:AD24"/>
    <mergeCell ref="S25:T25"/>
    <mergeCell ref="Y26:Z26"/>
    <mergeCell ref="U26:V26"/>
    <mergeCell ref="AA27:AB27"/>
    <mergeCell ref="AA25:AB25"/>
    <mergeCell ref="U25:V25"/>
    <mergeCell ref="AA23:AB23"/>
    <mergeCell ref="Y23:Z23"/>
    <mergeCell ref="Y9:Z9"/>
    <mergeCell ref="AE9:AF9"/>
    <mergeCell ref="AE24:AF24"/>
    <mergeCell ref="Q24:R24"/>
    <mergeCell ref="J9:K9"/>
    <mergeCell ref="N9:T9"/>
    <mergeCell ref="C11:D11"/>
    <mergeCell ref="M24:N24"/>
    <mergeCell ref="O24:P24"/>
    <mergeCell ref="K23:L23"/>
    <mergeCell ref="I24:J24"/>
    <mergeCell ref="S24:T24"/>
    <mergeCell ref="Q23:R23"/>
    <mergeCell ref="S23:T23"/>
    <mergeCell ref="M23:N23"/>
    <mergeCell ref="I22:AF22"/>
    <mergeCell ref="AE23:AF23"/>
    <mergeCell ref="AC23:AD23"/>
    <mergeCell ref="W23:X23"/>
    <mergeCell ref="B12:B13"/>
    <mergeCell ref="O23:P23"/>
    <mergeCell ref="C18:D18"/>
    <mergeCell ref="C15:D15"/>
    <mergeCell ref="C16:D16"/>
    <mergeCell ref="C12:D13"/>
    <mergeCell ref="C17:D17"/>
    <mergeCell ref="I23:J23"/>
    <mergeCell ref="C19:D19"/>
    <mergeCell ref="C1:D1"/>
    <mergeCell ref="AD3:AF3"/>
    <mergeCell ref="AD4:AF4"/>
    <mergeCell ref="AE6:AF6"/>
    <mergeCell ref="H7:N7"/>
    <mergeCell ref="O7:U7"/>
    <mergeCell ref="B7:C7"/>
    <mergeCell ref="AE7:AF7"/>
    <mergeCell ref="V7:AD7"/>
  </mergeCells>
  <phoneticPr fontId="38" type="noConversion"/>
  <conditionalFormatting sqref="F1:F2 F19">
    <cfRule type="expression" dxfId="85" priority="415" stopIfTrue="1">
      <formula>IF(OR(ACOMPANHAMENTO="BM",F$12&gt;CÁLCULO.NúmeroDeFrentes),TRUE,PLE.ValorDoEvento=0)</formula>
    </cfRule>
    <cfRule type="cellIs" dxfId="84" priority="416" stopIfTrue="1" operator="equal">
      <formula>$J$9</formula>
    </cfRule>
  </conditionalFormatting>
  <conditionalFormatting sqref="I25:AF25">
    <cfRule type="expression" dxfId="83" priority="417" stopIfTrue="1">
      <formula>I24=$J$9</formula>
    </cfRule>
  </conditionalFormatting>
  <conditionalFormatting sqref="I26:AF26">
    <cfRule type="expression" dxfId="82" priority="418" stopIfTrue="1">
      <formula>I24=$J$9</formula>
    </cfRule>
  </conditionalFormatting>
  <conditionalFormatting sqref="I27:AF27">
    <cfRule type="expression" dxfId="81" priority="419" stopIfTrue="1">
      <formula>I24=$J$9</formula>
    </cfRule>
  </conditionalFormatting>
  <conditionalFormatting sqref="I28:AF28">
    <cfRule type="expression" dxfId="80" priority="420" stopIfTrue="1">
      <formula>I24=$J$9</formula>
    </cfRule>
  </conditionalFormatting>
  <conditionalFormatting sqref="H1:AF1 H19:AF19">
    <cfRule type="expression" dxfId="79" priority="432" stopIfTrue="1">
      <formula>IF(OR(ACOMPANHAMENTO="BM",TIPOORCAMENTO="Proposto",H$12&gt;CÁLCULO.NúmeroDeFrentes),TRUE,PLE.ValorDoEvento=0)</formula>
    </cfRule>
    <cfRule type="cellIs" dxfId="78" priority="433" stopIfTrue="1" operator="equal">
      <formula>$J$9</formula>
    </cfRule>
  </conditionalFormatting>
  <conditionalFormatting sqref="AE6:AE7">
    <cfRule type="expression" dxfId="77" priority="421" stopIfTrue="1">
      <formula>TIPOORCAMENTO&lt;&gt;"Licitado"</formula>
    </cfRule>
  </conditionalFormatting>
  <conditionalFormatting sqref="N9:T9">
    <cfRule type="expression" dxfId="76" priority="422" stopIfTrue="1">
      <formula>COLUMN(N9)&gt;COLUMN($AF$12)</formula>
    </cfRule>
    <cfRule type="expression" dxfId="75" priority="423" stopIfTrue="1">
      <formula>$N$9="DIGITE A DATA DA MEDIÇÃO"</formula>
    </cfRule>
  </conditionalFormatting>
  <conditionalFormatting sqref="I9:M9 U9:AF9">
    <cfRule type="expression" dxfId="74" priority="424" stopIfTrue="1">
      <formula>COLUMN(I9)&gt;COLUMN($AF$12)</formula>
    </cfRule>
  </conditionalFormatting>
  <conditionalFormatting sqref="F16:F17">
    <cfRule type="expression" dxfId="73" priority="21" stopIfTrue="1">
      <formula>IF(OR(ACOMPANHAMENTO="BM",F$12&gt;CÁLCULO.NúmeroDeFrentes),TRUE,PLE.ValorDoEvento=0)</formula>
    </cfRule>
    <cfRule type="cellIs" dxfId="72" priority="22" stopIfTrue="1" operator="equal">
      <formula>$J$9</formula>
    </cfRule>
  </conditionalFormatting>
  <conditionalFormatting sqref="H16:AF17">
    <cfRule type="expression" dxfId="71" priority="23" stopIfTrue="1">
      <formula>IF(OR(ACOMPANHAMENTO="BM",TIPOORCAMENTO="Proposto",H$12&gt;CÁLCULO.NúmeroDeFrentes),TRUE,PLE.ValorDoEvento=0)</formula>
    </cfRule>
    <cfRule type="cellIs" dxfId="70" priority="24" stopIfTrue="1" operator="equal">
      <formula>$J$9</formula>
    </cfRule>
  </conditionalFormatting>
  <conditionalFormatting sqref="F18">
    <cfRule type="expression" dxfId="69" priority="13" stopIfTrue="1">
      <formula>IF(OR(ACOMPANHAMENTO="BM",F$12&gt;CÁLCULO.NúmeroDeFrentes),TRUE,PLE.ValorDoEvento=0)</formula>
    </cfRule>
    <cfRule type="cellIs" dxfId="68" priority="14" stopIfTrue="1" operator="equal">
      <formula>$J$9</formula>
    </cfRule>
  </conditionalFormatting>
  <conditionalFormatting sqref="H18:AF18">
    <cfRule type="expression" dxfId="67" priority="15" stopIfTrue="1">
      <formula>IF(OR(ACOMPANHAMENTO="BM",TIPOORCAMENTO="Proposto",H$12&gt;CÁLCULO.NúmeroDeFrentes),TRUE,PLE.ValorDoEvento=0)</formula>
    </cfRule>
    <cfRule type="cellIs" dxfId="66" priority="16" stopIfTrue="1" operator="equal">
      <formula>$J$9</formula>
    </cfRule>
  </conditionalFormatting>
  <dataValidations count="3">
    <dataValidation type="whole" operator="greaterThan" allowBlank="1" showErrorMessage="1" sqref="F1:F4 I3:AC4 J9:K9 F16:F19">
      <formula1>0</formula1>
      <formula2>0</formula2>
    </dataValidation>
    <dataValidation allowBlank="1" showInputMessage="1" showErrorMessage="1" prompt="Digite a data de medição abaixo dos eventos." sqref="N9:T9">
      <formula1>0</formula1>
      <formula2>0</formula2>
    </dataValidation>
    <dataValidation type="whole" operator="equal" allowBlank="1" showErrorMessage="1" errorTitle="Errp de entrada" error="Preencha somente com o número da medição atual." sqref="H1:AF1 H16:AF19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pageSetUpPr fitToPage="1"/>
  </sheetPr>
  <dimension ref="A1:AE28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 activeCell="G31" sqref="G31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12" t="s">
        <v>305</v>
      </c>
      <c r="I1" s="8"/>
      <c r="J1" s="8"/>
    </row>
    <row r="2" spans="1:31" x14ac:dyDescent="0.2">
      <c r="Z2" t="s">
        <v>306</v>
      </c>
      <c r="AA2" s="90" t="s">
        <v>307</v>
      </c>
      <c r="AB2" s="78"/>
    </row>
    <row r="3" spans="1:31" x14ac:dyDescent="0.2">
      <c r="D3" s="585" t="s">
        <v>147</v>
      </c>
      <c r="E3" s="585"/>
      <c r="F3" s="89" t="s">
        <v>148</v>
      </c>
      <c r="G3" s="585" t="s">
        <v>149</v>
      </c>
      <c r="H3" s="585"/>
      <c r="I3" s="585"/>
      <c r="J3" s="670" t="s">
        <v>308</v>
      </c>
      <c r="K3" s="670"/>
      <c r="L3" s="670"/>
      <c r="M3" s="671" t="s">
        <v>309</v>
      </c>
      <c r="N3" s="671"/>
      <c r="O3" s="671"/>
      <c r="Z3" s="104">
        <f ca="1">MAX(Z7:AB7)</f>
        <v>0</v>
      </c>
      <c r="AA3" s="313">
        <f ca="1">IF(OR($O$15=ORÇAMENTO.SumINVMANUAL+QCI.SumINVMANUAL,$O$15=0),0,MIN(MAX(0,($Z$3*$O$15-ORÇAMENTO.SumCPMANUAL-QCI.SumCPMANUAL)/($O$15-ORÇAMENTO.SumINVMANUAL-QCI.SumINVMANUAL)),1))</f>
        <v>0</v>
      </c>
      <c r="AB3" s="94"/>
    </row>
    <row r="4" spans="1:31" x14ac:dyDescent="0.2">
      <c r="D4" s="582">
        <f>Import.CR</f>
        <v>0</v>
      </c>
      <c r="E4" s="582"/>
      <c r="F4" s="57">
        <f>Import.SICONV</f>
        <v>0</v>
      </c>
      <c r="G4" s="582" t="str">
        <f>Import.Proponente</f>
        <v>Prefeitura Municipal de Caçapava do Sul</v>
      </c>
      <c r="H4" s="582"/>
      <c r="I4" s="582"/>
      <c r="J4" s="672" t="str">
        <f>Import.Município</f>
        <v>Caçapava do Sul/RS</v>
      </c>
      <c r="K4" s="672"/>
      <c r="L4" s="672"/>
      <c r="M4" s="671"/>
      <c r="N4" s="671"/>
      <c r="O4" s="671"/>
      <c r="R4" s="131"/>
      <c r="Z4" s="94"/>
      <c r="AA4" s="94"/>
      <c r="AB4" s="94"/>
    </row>
    <row r="5" spans="1:31" ht="5.0999999999999996" customHeight="1" x14ac:dyDescent="0.2">
      <c r="M5" s="305"/>
      <c r="O5" s="4"/>
    </row>
    <row r="6" spans="1:31" x14ac:dyDescent="0.2">
      <c r="D6" s="585" t="s">
        <v>204</v>
      </c>
      <c r="E6" s="585"/>
      <c r="F6" s="585"/>
      <c r="G6" s="585"/>
      <c r="H6" s="585"/>
      <c r="I6" s="585"/>
      <c r="J6" s="585"/>
      <c r="K6" s="585"/>
      <c r="L6" s="314" t="s">
        <v>212</v>
      </c>
      <c r="M6" s="89" t="str">
        <f>IF(import.recurso="FGTS","FINANCIAMENTO","REPASSE")</f>
        <v>REPASSE</v>
      </c>
      <c r="N6" s="89" t="s">
        <v>310</v>
      </c>
      <c r="O6" s="89" t="s">
        <v>311</v>
      </c>
      <c r="Z6" t="s">
        <v>312</v>
      </c>
      <c r="AA6" t="s">
        <v>313</v>
      </c>
      <c r="AB6" t="s">
        <v>314</v>
      </c>
    </row>
    <row r="7" spans="1:31" ht="12.75" customHeight="1" x14ac:dyDescent="0.2">
      <c r="C7" s="611" t="s">
        <v>211</v>
      </c>
      <c r="D7" s="582" t="str">
        <f>Import.Apelido</f>
        <v>Calçamento da Rua Tomé Medeiros</v>
      </c>
      <c r="E7" s="582"/>
      <c r="F7" s="582"/>
      <c r="G7" s="582"/>
      <c r="H7" s="582"/>
      <c r="I7" s="582"/>
      <c r="J7" s="582"/>
      <c r="K7" s="582"/>
      <c r="L7" s="315" t="str">
        <f>import.recurso</f>
        <v>OGU</v>
      </c>
      <c r="M7" s="316">
        <f>Import.Repasse</f>
        <v>0</v>
      </c>
      <c r="N7" s="316">
        <f>Import.Contrapartida</f>
        <v>0</v>
      </c>
      <c r="O7" s="316">
        <f>M7+N7</f>
        <v>0</v>
      </c>
      <c r="Z7" s="104">
        <f>ROUND(Import.CPMinPerc,4)</f>
        <v>0</v>
      </c>
      <c r="AA7" s="104">
        <f ca="1">IF($O$15=0,0,Import.CPMinAbsoluta/$O$15)</f>
        <v>0</v>
      </c>
      <c r="AB7" s="104">
        <f ca="1">IF($O$15=0,0,($O$15-$AB$15-Import.Repasse)/($O$15))</f>
        <v>0</v>
      </c>
    </row>
    <row r="8" spans="1:31" x14ac:dyDescent="0.2">
      <c r="C8" s="611"/>
      <c r="D8" s="94"/>
      <c r="E8" s="94"/>
      <c r="F8" s="317"/>
      <c r="G8" s="94"/>
      <c r="H8" s="94"/>
      <c r="I8" s="94"/>
      <c r="J8" s="94"/>
      <c r="K8" s="94"/>
      <c r="L8" s="94"/>
      <c r="M8" s="94"/>
      <c r="N8" s="94"/>
      <c r="O8" s="94"/>
    </row>
    <row r="9" spans="1:31" ht="12.75" customHeight="1" x14ac:dyDescent="0.2">
      <c r="C9" s="611"/>
      <c r="G9" s="675" t="str">
        <f ca="1">CHOOSE(1+LOG(1+2*(AND($O$15&gt;0,$M$16&gt;Import.CPMaxPerc,Import.CPMaxPerc&gt;0))+4*(OR(AND($O$15&gt;0,$M$16&lt;QCI!$Z$7),$M$15&lt;ROUND(Import.CPMinAbsoluta,2)))+8*(OR($L$10&lt;0,$M$10&lt;0))+16*(COUNTIF($L$13:$L$15,"&lt;0")&gt;0)+32*(OFFSET($A$15,-1,0)&lt;OFFSET(ORÇAMENTO!$E$32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675"/>
      <c r="I9" s="675"/>
      <c r="J9" s="675"/>
      <c r="K9" s="676" t="s">
        <v>315</v>
      </c>
      <c r="L9" s="318" t="str">
        <f>$L$13</f>
        <v>Repasse (R$)</v>
      </c>
      <c r="M9" s="318" t="s">
        <v>240</v>
      </c>
      <c r="AD9" s="673"/>
      <c r="AE9" s="673"/>
    </row>
    <row r="10" spans="1:31" ht="12.75" customHeight="1" x14ac:dyDescent="0.2">
      <c r="A10" s="677" t="s">
        <v>316</v>
      </c>
      <c r="C10" s="611"/>
      <c r="G10" s="675"/>
      <c r="H10" s="675"/>
      <c r="I10" s="675"/>
      <c r="J10" s="675"/>
      <c r="K10" s="676"/>
      <c r="L10" s="319">
        <f ca="1">Import.Repasse-L15</f>
        <v>0</v>
      </c>
      <c r="M10" s="320">
        <f ca="1">Import.Contrapartida-M15</f>
        <v>0</v>
      </c>
      <c r="Z10" s="624" t="s">
        <v>218</v>
      </c>
      <c r="AA10" s="624"/>
      <c r="AB10" s="624"/>
      <c r="AD10" s="673" t="s">
        <v>317</v>
      </c>
      <c r="AE10" s="673"/>
    </row>
    <row r="11" spans="1:31" ht="20.100000000000001" customHeight="1" x14ac:dyDescent="0.2">
      <c r="A11" s="677"/>
      <c r="C11" s="611"/>
      <c r="Z11" s="112" t="s">
        <v>318</v>
      </c>
      <c r="AA11" s="112" t="s">
        <v>240</v>
      </c>
      <c r="AB11" s="113" t="s">
        <v>241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IF(NOT(ISBLANK(QCI.DescManual)),IF(QCI.Divisao="Calculado","Manual","SemiAuto"),IF(ISERROR(MATCH($A12,ORÇAMENTO!$E$15:$E$32,0)),"Branco","Automático"))</f>
        <v>Branco</v>
      </c>
      <c r="C12" t="str">
        <f ca="1">IF(O12&gt;0,"F","")</f>
        <v/>
      </c>
      <c r="D12" s="321">
        <f>ROW()-ROW($D$13)</f>
        <v>-1</v>
      </c>
      <c r="E12" s="120"/>
      <c r="F12" s="120"/>
      <c r="G12" s="171" t="str">
        <f ca="1">IF(OR($B12="Manual",$B12="SemiAuto"),QCI.DescManual,IF($B12="Automático",INDEX(ORÇAMENTO!$R$15:$R$32,MATCH($A12,ORÇAMENTO!$E$15:$E$32,0)),""))</f>
        <v/>
      </c>
      <c r="H12" s="120"/>
      <c r="I12" s="557"/>
      <c r="J12" s="322" t="str">
        <f ca="1">IF(AND(ISBLANK(E12),ISBLANK(F12)),"",VLOOKUP($F12,OFFSET(DADOS!$A$2,1,MATCH(QCI!$E12,DADOS!$2:$2,0)-1,100,50),2,FALSE))</f>
        <v/>
      </c>
      <c r="K12" s="556" t="str">
        <f ca="1">IF(OR($B12="Manual",$B12="SemiAuto"),QCI.LoteManual,IF($B12="Automático",IF(TIPOORCAMENTO="Licitado",Import.CTEF,"LOTE 1"),""))</f>
        <v/>
      </c>
      <c r="L12" s="323">
        <f ca="1">ROUND($O12,2)-ROUND($M12,2)-ROUND($N12,2)</f>
        <v>0</v>
      </c>
      <c r="M12" s="324">
        <f ca="1">ROUND($AA12,2)-ROUND($AE12,2)</f>
        <v>0</v>
      </c>
      <c r="N12" s="325">
        <f ca="1">ROUND($AB12,2)</f>
        <v>0</v>
      </c>
      <c r="O12" s="326">
        <f ca="1">IF($B12="Branco",0,IF(OR($B12="Manual",$B12="SemiAuto"),QCI.InvManual,INDEX(ORÇAMENTO!X$15:X$32,MATCH($A12,ORÇAMENTO!$E$15:$E$32,0))))</f>
        <v>0</v>
      </c>
      <c r="P12" s="532"/>
      <c r="R12" s="558"/>
      <c r="T12" s="559"/>
      <c r="U12" s="328"/>
      <c r="V12" s="560" t="s">
        <v>319</v>
      </c>
      <c r="W12" s="329">
        <f ca="1">$O12</f>
        <v>0</v>
      </c>
      <c r="X12" s="330">
        <v>0</v>
      </c>
      <c r="Z12">
        <f ca="1">$O12-$AA12-$AB12</f>
        <v>0</v>
      </c>
      <c r="AA12">
        <f ca="1">IF($B12="Branco",0,IF($B12="Manual",QCI.CPManual,IF($B12="SemiAuto",ROUND(QCI!$AA$3*QCI.InvManual,2),INDEX(ORÇAMENTO!$AA$15:$AA$32,MATCH($A12,ORÇAMENTO!$E$15:$E$32,0)))))</f>
        <v>0</v>
      </c>
      <c r="AB12">
        <f ca="1">IF($B12="Branco",0,IF($B12="Manual",QCI.OutrosManual,IF($B12="SemiAuto",0,INDEX(ORÇAMENTO!$AB$15:$AB$32,MATCH($A12,ORÇAMENTO!$E$15:$E$32,0)))))</f>
        <v>0</v>
      </c>
      <c r="AD12" s="331" t="b">
        <f ca="1">AND($AA$3&gt;0,$AA$3&lt;1,$O12&gt;0,OR($B12="Automático",$B12="SemiAuto"),OR(QCI!$Z$3=QCI!$Z$7,QCI!$Z$3=QCI!$AA$7,QCI!$Z$3=QCI!$AB$7))</f>
        <v>0</v>
      </c>
      <c r="AE12" s="331">
        <f ca="1">IF(AND($AD12,$O12&gt;0,COUNTIF(OFFSET($AD12,1,0):$AD$15,TRUE)=0),CHOOSE(1+LOG(1+2*(QCI!$Z$3=QCI!$Z$7)+4*(QCI!$Z$3=QCI!$AA$7)+8*(QCI!$Z$3=QCI!$AB$7),2),0,$AA$15-ROUND(Import.CPMinPerc*$O$15,2),$AA$15-Import.CPMinAbsoluta,Import.Repasse-$Z$15),0)</f>
        <v>0</v>
      </c>
    </row>
    <row r="13" spans="1:31" ht="25.5" customHeight="1" x14ac:dyDescent="0.2">
      <c r="A13" s="87">
        <v>0</v>
      </c>
      <c r="B13" s="332" t="s">
        <v>320</v>
      </c>
      <c r="C13" s="108" t="s">
        <v>219</v>
      </c>
      <c r="D13" s="109" t="s">
        <v>197</v>
      </c>
      <c r="E13" s="109" t="s">
        <v>321</v>
      </c>
      <c r="F13" s="109" t="s">
        <v>322</v>
      </c>
      <c r="G13" s="109" t="s">
        <v>323</v>
      </c>
      <c r="H13" s="109" t="s">
        <v>163</v>
      </c>
      <c r="I13" s="109" t="s">
        <v>205</v>
      </c>
      <c r="J13" s="109" t="s">
        <v>324</v>
      </c>
      <c r="K13" s="109" t="s">
        <v>325</v>
      </c>
      <c r="L13" s="333" t="str">
        <f>IF(import.recurso="FGTS","Financiamento (R$)","Repasse (R$)")</f>
        <v>Repasse (R$)</v>
      </c>
      <c r="M13" s="334" t="s">
        <v>326</v>
      </c>
      <c r="N13" s="335" t="s">
        <v>241</v>
      </c>
      <c r="O13" s="109" t="s">
        <v>327</v>
      </c>
      <c r="R13" s="336" t="s">
        <v>323</v>
      </c>
      <c r="T13" s="336" t="s">
        <v>325</v>
      </c>
      <c r="U13" s="167" t="s">
        <v>327</v>
      </c>
      <c r="V13" s="337" t="s">
        <v>328</v>
      </c>
      <c r="W13" s="166" t="s">
        <v>326</v>
      </c>
      <c r="X13" s="168" t="s">
        <v>241</v>
      </c>
    </row>
    <row r="14" spans="1:31" x14ac:dyDescent="0.2">
      <c r="A14">
        <f ca="1">IF(NOT(ISBLANK(QCI.DescManual)),OFFSET(A14,-1,0),D14)</f>
        <v>1</v>
      </c>
      <c r="B14" t="str">
        <f ca="1">IF(NOT(ISBLANK(QCI.DescManual)),IF(QCI.Divisao="Calculado","Manual","SemiAuto"),IF(ISERROR(MATCH($A14,ORÇAMENTO!$E$15:$E$32,0)),"Branco","Automático"))</f>
        <v>Automático</v>
      </c>
      <c r="C14" t="str">
        <f ca="1">IF(O14&gt;0,"F","")</f>
        <v/>
      </c>
      <c r="D14" s="321">
        <f>ROW()-ROW($D$13)</f>
        <v>1</v>
      </c>
      <c r="E14" s="120" t="s">
        <v>10</v>
      </c>
      <c r="F14" s="120" t="s">
        <v>81</v>
      </c>
      <c r="G14" s="171" t="str">
        <f ca="1">IF(OR($B14="Manual",$B14="SemiAuto"),QCI.DescManual,IF($B14="Automático",INDEX(ORÇAMENTO!$R$15:$R$32,MATCH($A14,ORÇAMENTO!$E$15:$E$32,0)),""))</f>
        <v>CALÇAMENTO RUA TOMÉ MEDEIROS</v>
      </c>
      <c r="H14" s="120" t="s">
        <v>451</v>
      </c>
      <c r="I14" s="557">
        <v>2300.89</v>
      </c>
      <c r="J14" s="322" t="str">
        <f ca="1">IF(AND(ISBLANK(E14),ISBLANK(F14)),"",VLOOKUP($F14,OFFSET(DADOS!$A$2,1,MATCH(QCI!$E14,DADOS!$2:$2,0)-1,100,50),2,FALSE))</f>
        <v>m²</v>
      </c>
      <c r="K14" s="556" t="str">
        <f ca="1">IF(OR($B14="Manual",$B14="SemiAuto"),QCI.LoteManual,IF($B14="Automático",IF(TIPOORCAMENTO="Licitado",Import.CTEF,"LOTE 1"),""))</f>
        <v>LOTE 1</v>
      </c>
      <c r="L14" s="323">
        <f ca="1">ROUND($O14,2)-ROUND($M14,2)-ROUND($N14,2)</f>
        <v>0</v>
      </c>
      <c r="M14" s="324">
        <f ca="1">ROUND($AA14,2)-ROUND($AE14,2)</f>
        <v>0</v>
      </c>
      <c r="N14" s="325">
        <f ca="1">ROUND($AB14,2)</f>
        <v>0</v>
      </c>
      <c r="O14" s="326">
        <f ca="1">IF($B14="Branco",0,IF(OR($B14="Manual",$B14="SemiAuto"),QCI.InvManual,INDEX(ORÇAMENTO!X$15:X$32,MATCH($A14,ORÇAMENTO!$E$15:$E$32,0))))</f>
        <v>0</v>
      </c>
      <c r="P14" s="532"/>
      <c r="R14" s="558"/>
      <c r="T14" s="559"/>
      <c r="U14" s="328"/>
      <c r="V14" s="560" t="s">
        <v>319</v>
      </c>
      <c r="W14" s="329">
        <f ca="1">$O14</f>
        <v>0</v>
      </c>
      <c r="X14" s="330">
        <v>0</v>
      </c>
      <c r="Z14">
        <f ca="1">$O14-$AA14-$AB14</f>
        <v>0</v>
      </c>
      <c r="AA14">
        <f ca="1">IF($B14="Branco",0,IF($B14="Manual",QCI.CPManual,IF($B14="SemiAuto",ROUND(QCI!$AA$3*QCI.InvManual,2),INDEX(ORÇAMENTO!$AA$15:$AA$32,MATCH($A14,ORÇAMENTO!$E$15:$E$32,0)))))</f>
        <v>0</v>
      </c>
      <c r="AB14">
        <f ca="1">IF($B14="Branco",0,IF($B14="Manual",QCI.OutrosManual,IF($B14="SemiAuto",0,INDEX(ORÇAMENTO!$AB$15:$AB$32,MATCH($A14,ORÇAMENTO!$E$15:$E$32,0)))))</f>
        <v>0</v>
      </c>
      <c r="AD14" s="331" t="b">
        <f ca="1">AND($AA$3&gt;0,$AA$3&lt;1,$O14&gt;0,OR($B14="Automático",$B14="SemiAuto"),OR(QCI!$Z$3=QCI!$Z$7,QCI!$Z$3=QCI!$AA$7,QCI!$Z$3=QCI!$AB$7))</f>
        <v>0</v>
      </c>
      <c r="AE14" s="331">
        <f ca="1">IF(AND($AD14,$O14&gt;0,COUNTIF(OFFSET($AD14,1,0):$AD$15,TRUE)=0),CHOOSE(1+LOG(1+2*(QCI!$Z$3=QCI!$Z$7)+4*(QCI!$Z$3=QCI!$AA$7)+8*(QCI!$Z$3=QCI!$AB$7),2),0,$AA$15-ROUND(Import.CPMinPerc*$O$15,2),$AA$15-Import.CPMinAbsoluta,Import.Repasse-$Z$15),0)</f>
        <v>0</v>
      </c>
    </row>
    <row r="15" spans="1:31" ht="15" x14ac:dyDescent="0.2">
      <c r="B15" t="s">
        <v>329</v>
      </c>
      <c r="C15" t="s">
        <v>248</v>
      </c>
      <c r="D15" s="338"/>
      <c r="E15" s="339"/>
      <c r="F15" s="339"/>
      <c r="G15" s="339"/>
      <c r="H15" s="339"/>
      <c r="I15" s="339"/>
      <c r="J15" s="339"/>
      <c r="K15" s="674" t="s">
        <v>330</v>
      </c>
      <c r="L15" s="340">
        <f ca="1">SUM(L13:OFFSET(L15,-1,0))</f>
        <v>0</v>
      </c>
      <c r="M15" s="341">
        <f ca="1">SUM(M13:OFFSET(M15,-1,0))</f>
        <v>0</v>
      </c>
      <c r="N15" s="342">
        <f ca="1">SUM(N13:OFFSET(N15,-1,0))</f>
        <v>0</v>
      </c>
      <c r="O15" s="343">
        <f ca="1">SUM(O13:OFFSET(O15,-1,0))</f>
        <v>0</v>
      </c>
      <c r="R15" s="344"/>
      <c r="T15" s="345"/>
      <c r="U15" s="346"/>
      <c r="V15" s="347"/>
      <c r="W15" s="348"/>
      <c r="X15" s="349"/>
      <c r="Z15" s="90">
        <f ca="1">SUMPRODUCT(ROUND(Z13:OFFSET(Z15,-1,0),2))</f>
        <v>0</v>
      </c>
      <c r="AA15" s="90">
        <f ca="1">SUMPRODUCT(ROUND(AA13:OFFSET(AA15,-1,0),2))</f>
        <v>0</v>
      </c>
      <c r="AB15" s="90">
        <f ca="1">SUM(AB13:OFFSET(AB15,-1,0))</f>
        <v>0</v>
      </c>
    </row>
    <row r="16" spans="1:31" x14ac:dyDescent="0.2">
      <c r="B16" t="s">
        <v>331</v>
      </c>
      <c r="C16" t="s">
        <v>248</v>
      </c>
      <c r="D16" s="350"/>
      <c r="E16" s="351"/>
      <c r="F16" s="351"/>
      <c r="G16" s="351"/>
      <c r="H16" s="351"/>
      <c r="I16" s="351"/>
      <c r="J16" s="351"/>
      <c r="K16" s="674"/>
      <c r="L16" s="352">
        <f ca="1">IF(ISERROR(L15/$O15),0,ROUND(L15/$O15,4))</f>
        <v>0</v>
      </c>
      <c r="M16" s="353">
        <f ca="1">IF(ISERROR(M15/$O15),0,ROUND(M15/$O15,4))</f>
        <v>0</v>
      </c>
      <c r="N16" s="354">
        <f ca="1">IF(ISERROR(N15/$O15),0,ROUND(N15/$O15,4))</f>
        <v>0</v>
      </c>
      <c r="O16" s="355">
        <f ca="1">IF(ISERROR(O15/$O15),0,ROUND(O15/$O15,4))</f>
        <v>0</v>
      </c>
      <c r="R16" s="356"/>
      <c r="T16" s="357"/>
      <c r="U16" s="358"/>
      <c r="V16" s="359"/>
      <c r="W16" s="360"/>
      <c r="X16" s="361"/>
    </row>
    <row r="18" spans="4:15" ht="14.25" x14ac:dyDescent="0.2">
      <c r="D18" s="141" t="s">
        <v>189</v>
      </c>
    </row>
    <row r="19" spans="4:15" ht="12.75" customHeight="1" x14ac:dyDescent="0.2">
      <c r="D19" s="615" t="s">
        <v>463</v>
      </c>
      <c r="E19" s="615"/>
      <c r="F19" s="615"/>
      <c r="G19" s="615"/>
      <c r="H19" s="615"/>
      <c r="I19" s="615"/>
      <c r="J19" s="615"/>
      <c r="K19" s="615"/>
      <c r="L19" s="615"/>
      <c r="M19" s="615"/>
      <c r="N19" s="615"/>
      <c r="O19" s="615"/>
    </row>
    <row r="20" spans="4:15" ht="12.75" customHeight="1" x14ac:dyDescent="0.2"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5"/>
      <c r="O20" s="615"/>
    </row>
    <row r="21" spans="4:15" ht="12.75" customHeight="1" x14ac:dyDescent="0.2">
      <c r="D21" s="615"/>
      <c r="E21" s="615"/>
      <c r="F21" s="615"/>
      <c r="G21" s="615"/>
      <c r="H21" s="615"/>
      <c r="I21" s="615"/>
      <c r="J21" s="615"/>
      <c r="K21" s="615"/>
      <c r="L21" s="615"/>
      <c r="M21" s="615"/>
      <c r="N21" s="615"/>
      <c r="O21" s="615"/>
    </row>
    <row r="24" spans="4:15" ht="15" x14ac:dyDescent="0.2">
      <c r="D24" s="617" t="str">
        <f>Import.Município</f>
        <v>Caçapava do Sul/RS</v>
      </c>
      <c r="E24" s="617"/>
      <c r="F24" s="617"/>
      <c r="I24" s="145"/>
      <c r="J24" s="145"/>
      <c r="K24" s="193"/>
      <c r="L24" s="193"/>
    </row>
    <row r="25" spans="4:15" x14ac:dyDescent="0.2">
      <c r="D25" s="10" t="s">
        <v>190</v>
      </c>
      <c r="I25" s="194" t="s">
        <v>332</v>
      </c>
      <c r="J25" s="194"/>
    </row>
    <row r="26" spans="4:15" x14ac:dyDescent="0.2">
      <c r="I26" s="78" t="str">
        <f>"Nome:" &amp;  " " &amp; DADOS!F28</f>
        <v>Nome: Giovani Amestoy da Silva</v>
      </c>
    </row>
    <row r="27" spans="4:15" x14ac:dyDescent="0.2">
      <c r="D27" s="612">
        <f ca="1">DADOS!$F$25</f>
        <v>45545</v>
      </c>
      <c r="E27" s="612"/>
      <c r="F27" s="612"/>
      <c r="I27" s="78" t="str">
        <f>"Cargo:"  &amp; " " &amp; DADOS!F29</f>
        <v>Cargo: Prefeito Municipal</v>
      </c>
    </row>
    <row r="28" spans="4:15" x14ac:dyDescent="0.2">
      <c r="D28" s="146" t="s">
        <v>191</v>
      </c>
      <c r="E28" s="1"/>
      <c r="F28" s="1"/>
      <c r="K28" s="78"/>
      <c r="L28" s="79"/>
    </row>
  </sheetData>
  <sheetProtection password="BD1F" sheet="1" objects="1" scenarios="1" autoFilter="0"/>
  <autoFilter ref="C13:C16"/>
  <mergeCells count="20">
    <mergeCell ref="A10:A11"/>
    <mergeCell ref="Z10:AB10"/>
    <mergeCell ref="D27:F27"/>
    <mergeCell ref="D19:O21"/>
    <mergeCell ref="D24:F24"/>
    <mergeCell ref="D6:K6"/>
    <mergeCell ref="AD10:AE10"/>
    <mergeCell ref="K15:K16"/>
    <mergeCell ref="C7:C11"/>
    <mergeCell ref="G9:J10"/>
    <mergeCell ref="K9:K10"/>
    <mergeCell ref="AD9:AE9"/>
    <mergeCell ref="D7:K7"/>
    <mergeCell ref="D3:E3"/>
    <mergeCell ref="G3:I3"/>
    <mergeCell ref="J3:L3"/>
    <mergeCell ref="M3:O4"/>
    <mergeCell ref="D4:E4"/>
    <mergeCell ref="G4:I4"/>
    <mergeCell ref="J4:L4"/>
  </mergeCells>
  <phoneticPr fontId="38" type="noConversion"/>
  <conditionalFormatting sqref="T12:V12">
    <cfRule type="expression" dxfId="65" priority="161" stopIfTrue="1">
      <formula>OR($B12="Automático",$B12="Branco")</formula>
    </cfRule>
  </conditionalFormatting>
  <conditionalFormatting sqref="L12">
    <cfRule type="expression" dxfId="64" priority="162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dxfId="63" priority="163" stopIfTrue="1">
      <formula>OR($B12="Automático",$B12="Branco",$V12&lt;&gt;"Calculado")</formula>
    </cfRule>
  </conditionalFormatting>
  <conditionalFormatting sqref="M16">
    <cfRule type="expression" dxfId="62" priority="165" stopIfTrue="1">
      <formula>AND($G$9&lt;&gt;"",OR($M$16&lt;Import.CPMinPerc,$M$16&gt;Import.CPMaxPerc))</formula>
    </cfRule>
  </conditionalFormatting>
  <conditionalFormatting sqref="M15">
    <cfRule type="expression" dxfId="61" priority="166" stopIfTrue="1">
      <formula>AND($G$9&lt;&gt;"",$M$15&lt;Import.CPMinAbsoluta)</formula>
    </cfRule>
  </conditionalFormatting>
  <conditionalFormatting sqref="L10:M10">
    <cfRule type="cellIs" dxfId="60" priority="167" stopIfTrue="1" operator="lessThan">
      <formula>0</formula>
    </cfRule>
  </conditionalFormatting>
  <conditionalFormatting sqref="G12">
    <cfRule type="cellIs" dxfId="59" priority="168" stopIfTrue="1" operator="equal">
      <formula>"(digite a descrição aqui)"</formula>
    </cfRule>
  </conditionalFormatting>
  <conditionalFormatting sqref="T14:V14">
    <cfRule type="expression" dxfId="58" priority="1" stopIfTrue="1">
      <formula>OR($B14="Automático",$B14="Branco")</formula>
    </cfRule>
  </conditionalFormatting>
  <conditionalFormatting sqref="W14:X14">
    <cfRule type="expression" dxfId="57" priority="3" stopIfTrue="1">
      <formula>OR($B14="Automático",$B14="Branco",$V14&lt;&gt;"Calculado")</formula>
    </cfRule>
  </conditionalFormatting>
  <conditionalFormatting sqref="G14">
    <cfRule type="cellIs" dxfId="56" priority="4" stopIfTrue="1" operator="equal">
      <formula>"(digite a descrição aqui)"</formula>
    </cfRule>
  </conditionalFormatting>
  <conditionalFormatting sqref="L14">
    <cfRule type="expression" dxfId="55" priority="2" stopIfTrue="1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dataValidations count="9">
    <dataValidation type="decimal" operator="greaterThan" allowBlank="1" showErrorMessage="1" error="Digite apenas números decimais maiores do que 0." sqref="U12 U14">
      <formula1>0</formula1>
      <formula2>0</formula2>
    </dataValidation>
    <dataValidation type="list" allowBlank="1" sqref="E12 E14">
      <formula1>QCI.ItemInvestimento</formula1>
      <formula2>0</formula2>
    </dataValidation>
    <dataValidation type="list" allowBlank="1" sqref="F12 F14">
      <formula1>QCI.SubItemInvestimento</formula1>
      <formula2>0</formula2>
    </dataValidation>
    <dataValidation type="list" allowBlank="1" sqref="H12 H14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">
      <formula1>0</formula1>
      <formula2>0</formula2>
    </dataValidation>
    <dataValidation type="list" allowBlank="1" showErrorMessage="1" sqref="V12 V14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">
      <formula1>0</formula1>
      <formula2>QCI.MaxOUManual</formula2>
    </dataValidation>
    <dataValidation allowBlank="1" showInputMessage="1" showErrorMessage="1" prompt="Preencha somente se a meta não fizer parte do Orçamento desta Plan. Mult." sqref="R12 R14"/>
  </dataValidations>
  <pageMargins left="0.78740157480314965" right="0.78740157480314965" top="0.78740157480314965" bottom="0.78740157480314965" header="0.59055118110236227" footer="0.59055118110236227"/>
  <pageSetup paperSize="9" scale="62" firstPageNumber="0" fitToHeight="0" orientation="landscape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pageSetUpPr fitToPage="1"/>
  </sheetPr>
  <dimension ref="A1:AO47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39" sqref="A39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E1" s="362" t="str">
        <f>IF(CAIXA.Modo,"BA - Boletim de Aferição","BM - Boletim de Medição")</f>
        <v>BM - Boletim de Medição</v>
      </c>
      <c r="G1" s="363"/>
      <c r="J1" s="363"/>
      <c r="K1" s="363"/>
      <c r="L1" s="363"/>
      <c r="M1" s="363"/>
      <c r="N1" s="363"/>
      <c r="O1" s="53" t="s">
        <v>141</v>
      </c>
    </row>
    <row r="2" spans="1:41" ht="15" x14ac:dyDescent="0.2">
      <c r="A2" s="364" t="s">
        <v>333</v>
      </c>
      <c r="B2" s="2"/>
      <c r="E2" s="365" t="str">
        <f ca="1">IF(Import.RegimeExecução="(SELECIONAR)","Selecione o Regime de Execução na Aba Dados",Import.RegimeExecução&amp;" - "&amp;import.recurso)</f>
        <v>EMPREITADA POR PREÇO GLOBAL - OGU</v>
      </c>
      <c r="O2" s="12" t="s">
        <v>144</v>
      </c>
    </row>
    <row r="3" spans="1:41" x14ac:dyDescent="0.2">
      <c r="A3" s="678" t="b">
        <v>0</v>
      </c>
      <c r="B3" s="678"/>
      <c r="E3" s="87"/>
    </row>
    <row r="4" spans="1:41" x14ac:dyDescent="0.2">
      <c r="D4" s="585" t="s">
        <v>149</v>
      </c>
      <c r="E4" s="585"/>
      <c r="F4" s="622" t="s">
        <v>147</v>
      </c>
      <c r="G4" s="622"/>
      <c r="H4" s="622"/>
      <c r="I4" s="151" t="s">
        <v>148</v>
      </c>
      <c r="J4" s="585" t="s">
        <v>204</v>
      </c>
      <c r="K4" s="585"/>
      <c r="L4" s="585"/>
      <c r="M4" s="585"/>
      <c r="N4" s="585"/>
      <c r="O4" s="153" t="s">
        <v>334</v>
      </c>
    </row>
    <row r="5" spans="1:41" ht="12.75" customHeight="1" x14ac:dyDescent="0.2">
      <c r="A5" t="s">
        <v>335</v>
      </c>
      <c r="D5" s="582" t="str">
        <f>Import.Proponente</f>
        <v>Prefeitura Municipal de Caçapava do Sul</v>
      </c>
      <c r="E5" s="582"/>
      <c r="F5" s="620">
        <f>Import.CR</f>
        <v>0</v>
      </c>
      <c r="G5" s="620"/>
      <c r="H5" s="620"/>
      <c r="I5" s="366">
        <f>Import.SICONV</f>
        <v>0</v>
      </c>
      <c r="J5" s="582" t="str">
        <f>Import.Apelido</f>
        <v>Calçamento da Rua Tomé Medeiros</v>
      </c>
      <c r="K5" s="582"/>
      <c r="L5" s="582"/>
      <c r="M5" s="582"/>
      <c r="N5" s="582"/>
      <c r="O5" s="367">
        <f>Import.DataInicioObra</f>
        <v>45474</v>
      </c>
      <c r="AO5" s="368" t="s">
        <v>336</v>
      </c>
    </row>
    <row r="6" spans="1:41" ht="5.0999999999999996" customHeight="1" x14ac:dyDescent="0.2">
      <c r="D6" s="95"/>
      <c r="E6" s="96"/>
      <c r="F6" s="95"/>
      <c r="G6" s="95"/>
      <c r="H6" s="95"/>
      <c r="I6" s="95"/>
      <c r="J6" s="95"/>
      <c r="K6" s="95"/>
      <c r="L6" s="95"/>
      <c r="M6" s="95"/>
      <c r="N6" s="95"/>
      <c r="O6" s="95"/>
      <c r="AO6" s="369"/>
    </row>
    <row r="7" spans="1:41" ht="12.75" customHeight="1" x14ac:dyDescent="0.2">
      <c r="A7" t="str">
        <f ca="1">RegimeExecucao</f>
        <v>Global</v>
      </c>
      <c r="D7" s="89" t="s">
        <v>337</v>
      </c>
      <c r="E7" s="89" t="s">
        <v>338</v>
      </c>
      <c r="F7" s="585" t="s">
        <v>339</v>
      </c>
      <c r="G7" s="585"/>
      <c r="H7" s="585"/>
      <c r="I7" s="585" t="str">
        <f>IF(TIPOORCAMENTO="Licitado","REGIME DE EXECUÇÃO","MUNICÍPIO / UF")</f>
        <v>MUNICÍPIO / UF</v>
      </c>
      <c r="J7" s="585"/>
      <c r="K7" s="585"/>
      <c r="L7" s="585"/>
      <c r="M7" s="585" t="s">
        <v>340</v>
      </c>
      <c r="N7" s="585"/>
      <c r="O7" s="89" t="s">
        <v>341</v>
      </c>
      <c r="AO7" s="315">
        <f ca="1">BM.MEDAcumulado</f>
        <v>0</v>
      </c>
    </row>
    <row r="8" spans="1:41" ht="12.75" customHeight="1" x14ac:dyDescent="0.2">
      <c r="A8" s="364" t="s">
        <v>342</v>
      </c>
      <c r="B8" s="2"/>
      <c r="C8" s="611" t="s">
        <v>211</v>
      </c>
      <c r="D8" s="370">
        <f>Import.CTEF</f>
        <v>0</v>
      </c>
      <c r="E8" s="57">
        <f>Import.empresa</f>
        <v>0</v>
      </c>
      <c r="F8" s="582">
        <f>Import.CNPJ</f>
        <v>0</v>
      </c>
      <c r="G8" s="582"/>
      <c r="H8" s="582"/>
      <c r="I8" s="582" t="str">
        <f>IF(TIPOORCAMENTO="Licitado",Import.RegimeExecução,Import.Município)</f>
        <v>Caçapava do Sul/RS</v>
      </c>
      <c r="J8" s="582"/>
      <c r="K8" s="582"/>
      <c r="L8" s="582"/>
      <c r="M8" s="582" t="str">
        <f ca="1">TEXT(IF(BM.medicao=1,Import.DataInicioObra,OFFSET($AB$12,0,BM.medicao-1-$AB$13)+1),"dd/mm/aaaa")&amp;" a "&amp;TEXT(OFFSET($AB$12,0,BM.medicao-$AB$13),"dd/mm/aaaa")</f>
        <v>01/07/2024 a 00/01/1900</v>
      </c>
      <c r="N8" s="582"/>
      <c r="O8" s="490">
        <v>1</v>
      </c>
    </row>
    <row r="9" spans="1:41" ht="12.75" customHeight="1" x14ac:dyDescent="0.2">
      <c r="A9" s="531" t="b">
        <v>1</v>
      </c>
      <c r="B9" s="43"/>
      <c r="C9" s="611"/>
    </row>
    <row r="10" spans="1:41" x14ac:dyDescent="0.2">
      <c r="C10" s="611"/>
      <c r="E10" s="679" t="str">
        <f>IF(ACOMPANHAMENTO="PLE","Foi selecionado na aba 'MENU' o acompanhamento por PLE.",IF(TIPOORCAMENTO="Proposto","Altere na aba 'MENU' o tipo de orçamento para 'Licitado'.",""))</f>
        <v>Foi selecionado na aba 'MENU' o acompanhamento por PLE.</v>
      </c>
      <c r="F10" s="679"/>
      <c r="G10" s="679"/>
      <c r="H10" s="679"/>
      <c r="I10" s="679"/>
      <c r="N10" s="680" t="str">
        <f ca="1">"Realizado Acumulado: "&amp;TEXT(ROUND($O$15/($I$15+10^-12),4),"0,00%")</f>
        <v>Realizado Acumulado: 0,00%</v>
      </c>
      <c r="O10" s="680"/>
    </row>
    <row r="11" spans="1:41" ht="15" customHeight="1" x14ac:dyDescent="0.25">
      <c r="C11" s="611"/>
      <c r="E11" s="679"/>
      <c r="F11" s="679"/>
      <c r="G11" s="679"/>
      <c r="H11" s="679"/>
      <c r="I11" s="679"/>
      <c r="N11" s="680"/>
      <c r="O11" s="680"/>
      <c r="T11" s="681" t="s">
        <v>343</v>
      </c>
      <c r="U11" s="681"/>
      <c r="Z11" s="4"/>
      <c r="AB11" s="657" t="s">
        <v>344</v>
      </c>
      <c r="AC11" s="657"/>
      <c r="AD11" s="657"/>
      <c r="AE11" s="657"/>
      <c r="AF11" s="657"/>
      <c r="AG11" s="657"/>
      <c r="AH11" s="657"/>
      <c r="AI11" s="657"/>
      <c r="AJ11" s="657"/>
      <c r="AK11" s="657"/>
      <c r="AL11" s="657"/>
      <c r="AM11" s="657"/>
    </row>
    <row r="12" spans="1:41" ht="15" customHeight="1" x14ac:dyDescent="0.25">
      <c r="C12" s="611"/>
      <c r="E12" s="85" t="s">
        <v>345</v>
      </c>
      <c r="J12" s="584" t="str">
        <f ca="1">"Evolução Física "&amp;CHOOSE(MATCH(RegimeExecucao,{"Unitário","Global"},0),"(Qtde.)","(%)")</f>
        <v>Evolução Física (%)</v>
      </c>
      <c r="K12" s="584"/>
      <c r="L12" s="584"/>
      <c r="M12" s="584" t="s">
        <v>346</v>
      </c>
      <c r="N12" s="584"/>
      <c r="O12" s="584"/>
      <c r="Q12" s="584" t="str">
        <f ca="1">"Aferido (CAIXA) "&amp;CHOOSE(MATCH(RegimeExecucao,{"Unitário","Global"},0),"(Qtde.)","(%)")</f>
        <v>Aferido (CAIXA) (%)</v>
      </c>
      <c r="R12" s="584"/>
      <c r="T12" s="371" t="s">
        <v>347</v>
      </c>
      <c r="U12" s="193"/>
      <c r="V12" s="193"/>
      <c r="W12" s="193"/>
      <c r="X12" s="193"/>
      <c r="Y12" s="193"/>
      <c r="Z12" s="43"/>
      <c r="AB12" s="372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4"/>
    </row>
    <row r="13" spans="1:41" ht="45" customHeight="1" x14ac:dyDescent="0.2">
      <c r="A13" s="109" t="s">
        <v>224</v>
      </c>
      <c r="B13" s="109" t="s">
        <v>223</v>
      </c>
      <c r="C13" s="108" t="s">
        <v>219</v>
      </c>
      <c r="D13" s="336" t="s">
        <v>233</v>
      </c>
      <c r="E13" s="336" t="s">
        <v>236</v>
      </c>
      <c r="F13" s="375" t="s">
        <v>237</v>
      </c>
      <c r="G13" s="336" t="s">
        <v>205</v>
      </c>
      <c r="H13" s="336" t="s">
        <v>238</v>
      </c>
      <c r="I13" s="336" t="s">
        <v>239</v>
      </c>
      <c r="J13" s="336" t="s">
        <v>348</v>
      </c>
      <c r="K13" s="336" t="s">
        <v>349</v>
      </c>
      <c r="L13" s="336" t="s">
        <v>350</v>
      </c>
      <c r="M13" s="336" t="s">
        <v>348</v>
      </c>
      <c r="N13" s="336" t="s">
        <v>349</v>
      </c>
      <c r="O13" s="336" t="s">
        <v>350</v>
      </c>
      <c r="Q13" s="336" t="s">
        <v>348</v>
      </c>
      <c r="R13" s="336" t="s">
        <v>350</v>
      </c>
      <c r="T13" s="336" t="s">
        <v>233</v>
      </c>
      <c r="U13" s="336" t="s">
        <v>236</v>
      </c>
      <c r="V13" s="375" t="str">
        <f ca="1">IF(RegimeExecucao="Unitário","Unidade","")</f>
        <v/>
      </c>
      <c r="W13" s="336" t="str">
        <f ca="1">CHOOSE(MATCH(RegimeExecucao,{"Unitário","Global"},0),"Quant. Glosada (unid)","Percentual Glosado (%)")</f>
        <v>Percentual Glosado (%)</v>
      </c>
      <c r="X13" s="336" t="str">
        <f ca="1">CHOOSE(MATCH(RegimeExecucao,{"Unitário","Global"},0),"Preço Unitário (R$)","Valor Total do Item (R$)")</f>
        <v>Valor Total do Item (R$)</v>
      </c>
      <c r="Y13" s="336" t="s">
        <v>351</v>
      </c>
      <c r="Z13" s="336" t="s">
        <v>352</v>
      </c>
      <c r="AA13" s="114"/>
      <c r="AB13" s="376">
        <f ca="1">IF(BM.medicao&lt;=12,1,TRUNC((BM.medicao - 2)/11,0) * 11 + 1)</f>
        <v>1</v>
      </c>
      <c r="AC13" s="376">
        <f ca="1">OFFSET(AC13,0,-1)+1</f>
        <v>2</v>
      </c>
      <c r="AD13" s="376">
        <f t="shared" ref="AD13:AM13" ca="1" si="0">OFFSET(AD13,0,-1)+1</f>
        <v>3</v>
      </c>
      <c r="AE13" s="376">
        <f t="shared" ca="1" si="0"/>
        <v>4</v>
      </c>
      <c r="AF13" s="376">
        <f t="shared" ca="1" si="0"/>
        <v>5</v>
      </c>
      <c r="AG13" s="376">
        <f t="shared" ca="1" si="0"/>
        <v>6</v>
      </c>
      <c r="AH13" s="376">
        <f t="shared" ca="1" si="0"/>
        <v>7</v>
      </c>
      <c r="AI13" s="376">
        <f t="shared" ca="1" si="0"/>
        <v>8</v>
      </c>
      <c r="AJ13" s="376">
        <f t="shared" ca="1" si="0"/>
        <v>9</v>
      </c>
      <c r="AK13" s="376">
        <f t="shared" ca="1" si="0"/>
        <v>10</v>
      </c>
      <c r="AL13" s="376">
        <f t="shared" ca="1" si="0"/>
        <v>11</v>
      </c>
      <c r="AM13" s="376">
        <f t="shared" ca="1" si="0"/>
        <v>12</v>
      </c>
      <c r="AO13" s="109" t="s">
        <v>353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16" t="str">
        <f ca="1">IF(OR($I14&gt;0,$A14=1,$A14=2,$A14=3,$A14=4),"F","")</f>
        <v/>
      </c>
      <c r="D14" s="119" t="str">
        <f ca="1">ORÇAMENTO!O14</f>
        <v>-</v>
      </c>
      <c r="E14" s="171" t="str">
        <f ca="1">ORÇAMENTO.Descricao</f>
        <v>(abra o arquivo 'Referência 04-2024.xls)</v>
      </c>
      <c r="F14" s="172" t="str">
        <f ca="1">IF(RegimeExecucao="Global","",ORÇAMENTO.Unidade)</f>
        <v/>
      </c>
      <c r="G14" s="124" t="str">
        <f ca="1">IF(RegimeExecucao="Global","",ORÇAMENTO!T14)</f>
        <v/>
      </c>
      <c r="H14" s="124" t="str">
        <f ca="1">IF(RegimeExecucao="Global","",ORÇAMENTO!W14)</f>
        <v/>
      </c>
      <c r="I14" s="127">
        <f ca="1">ORÇAMENTO!X14</f>
        <v>0</v>
      </c>
      <c r="J14" s="377">
        <f ca="1">IF($A14="S",IF(CAIXA.Modo,BM.AFAnterior,BM.MEDAnterior),IF(AND(RegimeExecucao="Global",$I14&gt;0,COUNTIF($AB$13:$AM$13,BM.medicao-1)&gt;0),M14/$I14*100,0))</f>
        <v>0</v>
      </c>
      <c r="K14" s="124">
        <f ca="1">L14-J14</f>
        <v>0</v>
      </c>
      <c r="L14" s="378">
        <f ca="1">IF($A14="S",IF(CAIXA.Modo,BM.AFAcumulado,BM.MEDAcumulado),IF(AND(RegimeExecucao="Global",$I14&gt;0,COUNTIF($AB$13:$AM$13,BM.medicao)&gt;0),O14/$I14*100,0))</f>
        <v>0</v>
      </c>
      <c r="M14" s="379">
        <f ca="1">IF($A14="S",VTOTALBM,IF($A14=0,0,ROUND(SomaAgrupBM,15-13*ORÇAMENTO!$AF$11)))</f>
        <v>0</v>
      </c>
      <c r="N14" s="380">
        <f ca="1">O14-M14</f>
        <v>0</v>
      </c>
      <c r="O14" s="127">
        <f ca="1">IF($A14="S",VTOTALBM,IF($A14=0,0,ROUND(SomaAgrupBM,15-13*ORÇAMENTO!$AF$11)))</f>
        <v>0</v>
      </c>
      <c r="Q14" s="381"/>
      <c r="R14" s="382"/>
      <c r="T14" s="119" t="str">
        <f ca="1">IF($W14&gt;0,$D14,"")</f>
        <v/>
      </c>
      <c r="U14" s="171" t="str">
        <f ca="1">IF($W14&gt;0,$E14,"")</f>
        <v/>
      </c>
      <c r="V14" s="172" t="str">
        <f ca="1">IF(AND($W14&gt;0,RegimeExecucao="Unitário"),$F14,"")</f>
        <v/>
      </c>
      <c r="W14" s="547">
        <f ca="1">IF($Y14&gt;0,CHOOSE(MATCH(RegimeExecucao,{"Unitário","Global"},0),IF($A14="S",$Y14/$X14,""),($Y14/$X14)*100),0)</f>
        <v>0</v>
      </c>
      <c r="X14" s="383" t="str">
        <f ca="1">IF($Y14&gt;0,CHOOSE(MATCH(RegimeExecucao,{"Unitário","Global"},0),IF($A14="S",ROUND($H14,ORÇAMENTO!$AF$10),""),ROUND($I14,ORÇAMENTO!$AF$11)),"")</f>
        <v/>
      </c>
      <c r="Y14" s="383">
        <f ca="1">AO14-O14</f>
        <v>0</v>
      </c>
      <c r="Z14" s="384"/>
      <c r="AB14" s="381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382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16" t="s">
        <v>248</v>
      </c>
      <c r="D15" s="687" t="str">
        <f>"Objeto do CTEF: "&amp;Import.DescLote</f>
        <v>Objeto do CTEF: Lote Único - Empreitada Preço Global</v>
      </c>
      <c r="E15" s="687"/>
      <c r="F15" s="548"/>
      <c r="G15" s="549"/>
      <c r="H15" s="549" t="s">
        <v>354</v>
      </c>
      <c r="I15" s="550">
        <f>IF(OR(ACOMPANHAMENTO="PLE",TIPOORCAMENTO="Proposto"),0,ORÇAMENTO!$X$15)</f>
        <v>0</v>
      </c>
      <c r="J15" s="385">
        <f ca="1">IF(M$15=0,0,IF(RegimeExecucao="Global",M$15/$I$15*100,0))</f>
        <v>0</v>
      </c>
      <c r="K15" s="385">
        <f ca="1">L15-J15</f>
        <v>0</v>
      </c>
      <c r="L15" s="385">
        <f ca="1">IF(O$15=0,0,IF(RegimeExecucao="Global",O$15/$I$15*100,0))</f>
        <v>0</v>
      </c>
      <c r="M15" s="386">
        <f ca="1">IF(OR(ACOMPANHAMENTO="PLE",TIPOORCAMENTO="Proposto"),0,SUMIF(OFFSET($A15,1,0):$A$32,"S",OFFSET(M15,1,0):M$32))</f>
        <v>0</v>
      </c>
      <c r="N15" s="386">
        <f ca="1">O15-M15</f>
        <v>0</v>
      </c>
      <c r="O15" s="386">
        <f ca="1">IF(OR(ACOMPANHAMENTO="PLE",TIPOORCAMENTO="Proposto"),0,SUMIF(OFFSET($A15,1,0):$A$32,"S",OFFSET(O15,1,0):O$32))</f>
        <v>0</v>
      </c>
      <c r="Q15" s="387"/>
      <c r="R15" s="387"/>
      <c r="T15" s="388"/>
      <c r="U15" s="389"/>
      <c r="V15" s="389"/>
      <c r="W15" s="389"/>
      <c r="X15" s="389"/>
      <c r="Y15" s="389"/>
      <c r="Z15" s="390"/>
      <c r="AB15" s="683" t="str">
        <f ca="1">"Preencher abaixo com a "&amp;CHOOSE(MATCH(RegimeExecucao,{"Unitário","Global"},0),"QUANTIDADE","PORCENTAGEM")&amp;" executada no PERÍODO"</f>
        <v>Preencher abaixo com a PORCENTAGEM executada no PERÍODO</v>
      </c>
      <c r="AC15" s="683"/>
      <c r="AD15" s="683"/>
      <c r="AE15" s="683"/>
      <c r="AF15" s="683"/>
      <c r="AG15" s="683"/>
      <c r="AH15" s="683"/>
      <c r="AI15" s="683"/>
      <c r="AJ15" s="683"/>
      <c r="AK15" s="683"/>
      <c r="AL15" s="683"/>
      <c r="AM15" s="683"/>
    </row>
    <row r="16" spans="1:41" x14ac:dyDescent="0.2">
      <c r="A16">
        <f ca="1">ORÇAMENTO!C16</f>
        <v>1</v>
      </c>
      <c r="B16">
        <f ca="1">ORÇAMENTO!D16</f>
        <v>16</v>
      </c>
      <c r="C16" s="116" t="str">
        <f t="shared" ref="C16:C27" ca="1" si="1">IF(OR($I16&gt;0,$A16=1,$A16=2,$A16=3,$A16=4),"F","")</f>
        <v>F</v>
      </c>
      <c r="D16" s="119" t="str">
        <f ca="1">ORÇAMENTO!O16</f>
        <v>1.</v>
      </c>
      <c r="E16" s="171" t="str">
        <f t="shared" ref="E16:E27" si="2">ORÇAMENTO.Descricao</f>
        <v>CALÇAMENTO RUA TOMÉ MEDEIROS</v>
      </c>
      <c r="F16" s="172" t="str">
        <f t="shared" ref="F16:F27" ca="1" si="3">IF(RegimeExecucao="Global","",ORÇAMENTO.Unidade)</f>
        <v/>
      </c>
      <c r="G16" s="124" t="str">
        <f ca="1">IF(RegimeExecucao="Global","",ORÇAMENTO!T16)</f>
        <v/>
      </c>
      <c r="H16" s="124" t="str">
        <f ca="1">IF(RegimeExecucao="Global","",ORÇAMENTO!W16)</f>
        <v/>
      </c>
      <c r="I16" s="127">
        <f ca="1">ORÇAMENTO!X16</f>
        <v>0</v>
      </c>
      <c r="J16" s="377">
        <f t="shared" ref="J16:J27" ca="1" si="4">IF($A16="S",IF(CAIXA.Modo,BM.AFAnterior,BM.MEDAnterior),IF(AND(RegimeExecucao="Global",$I16&gt;0,COUNTIF($AB$13:$AM$13,BM.medicao-1)&gt;0),M16/$I16*100,0))</f>
        <v>0</v>
      </c>
      <c r="K16" s="124">
        <f t="shared" ref="K16:K27" ca="1" si="5">L16-J16</f>
        <v>0</v>
      </c>
      <c r="L16" s="378">
        <f t="shared" ref="L16:L27" ca="1" si="6">IF($A16="S",IF(CAIXA.Modo,BM.AFAcumulado,BM.MEDAcumulado),IF(AND(RegimeExecucao="Global",$I16&gt;0,COUNTIF($AB$13:$AM$13,BM.medicao)&gt;0),O16/$I16*100,0))</f>
        <v>0</v>
      </c>
      <c r="M16" s="379">
        <f ca="1">IF($A16="S",VTOTALBM,IF($A16=0,0,ROUND(SomaAgrupBM,15-13*ORÇAMENTO!$AF$11)))</f>
        <v>0</v>
      </c>
      <c r="N16" s="380">
        <f t="shared" ref="N16:N27" ca="1" si="7">O16-M16</f>
        <v>0</v>
      </c>
      <c r="O16" s="127">
        <f ca="1">IF($A16="S",VTOTALBM,IF($A16=0,0,ROUND(SomaAgrupBM,15-13*ORÇAMENTO!$AF$11)))</f>
        <v>0</v>
      </c>
      <c r="Q16" s="381"/>
      <c r="R16" s="382"/>
      <c r="T16" s="119" t="str">
        <f t="shared" ref="T16:T27" ca="1" si="8">IF($W16&gt;0,$D16,"")</f>
        <v/>
      </c>
      <c r="U16" s="171" t="str">
        <f t="shared" ref="U16:U27" ca="1" si="9">IF($W16&gt;0,$E16,"")</f>
        <v/>
      </c>
      <c r="V16" s="172" t="str">
        <f t="shared" ref="V16:V27" ca="1" si="10">IF(AND($W16&gt;0,RegimeExecucao="Unitário"),$F16,"")</f>
        <v/>
      </c>
      <c r="W16" s="547">
        <f ca="1">IF($Y16&gt;0,CHOOSE(MATCH(RegimeExecucao,{"Unitário","Global"},0),IF($A16="S",$Y16/$X16,""),($Y16/$X16)*100),0)</f>
        <v>0</v>
      </c>
      <c r="X16" s="383" t="str">
        <f ca="1">IF($Y16&gt;0,CHOOSE(MATCH(RegimeExecucao,{"Unitário","Global"},0),IF($A16="S",ROUND($H16,ORÇAMENTO!$AF$10),""),ROUND($I16,ORÇAMENTO!$AF$11)),"")</f>
        <v/>
      </c>
      <c r="Y16" s="383">
        <f t="shared" ref="Y16:Y27" ca="1" si="11">AO16-O16</f>
        <v>0</v>
      </c>
      <c r="Z16" s="384"/>
      <c r="AB16" s="381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382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2</v>
      </c>
      <c r="C17" s="116" t="str">
        <f t="shared" ca="1" si="1"/>
        <v>F</v>
      </c>
      <c r="D17" s="119" t="str">
        <f ca="1">ORÇAMENTO!O17</f>
        <v>1.1.</v>
      </c>
      <c r="E17" s="171" t="str">
        <f t="shared" si="2"/>
        <v>ADMINISTRAÇÃO LOCAL</v>
      </c>
      <c r="F17" s="172" t="str">
        <f t="shared" ca="1" si="3"/>
        <v/>
      </c>
      <c r="G17" s="124" t="str">
        <f ca="1">IF(RegimeExecucao="Global","",ORÇAMENTO!T17)</f>
        <v/>
      </c>
      <c r="H17" s="124" t="str">
        <f ca="1">IF(RegimeExecucao="Global","",ORÇAMENTO!W17)</f>
        <v/>
      </c>
      <c r="I17" s="127">
        <f ca="1">ORÇAMENTO!X17</f>
        <v>0</v>
      </c>
      <c r="J17" s="377">
        <f t="shared" ca="1" si="4"/>
        <v>0</v>
      </c>
      <c r="K17" s="124">
        <f t="shared" ca="1" si="5"/>
        <v>0</v>
      </c>
      <c r="L17" s="378">
        <f t="shared" ca="1" si="6"/>
        <v>0</v>
      </c>
      <c r="M17" s="379">
        <f ca="1">IF($A17="S",VTOTALBM,IF($A17=0,0,ROUND(SomaAgrupBM,15-13*ORÇAMENTO!$AF$11)))</f>
        <v>0</v>
      </c>
      <c r="N17" s="380">
        <f t="shared" ca="1" si="7"/>
        <v>0</v>
      </c>
      <c r="O17" s="127">
        <f ca="1">IF($A17="S",VTOTALBM,IF($A17=0,0,ROUND(SomaAgrupBM,15-13*ORÇAMENTO!$AF$11)))</f>
        <v>0</v>
      </c>
      <c r="Q17" s="381"/>
      <c r="R17" s="382"/>
      <c r="T17" s="119" t="str">
        <f t="shared" ca="1" si="8"/>
        <v/>
      </c>
      <c r="U17" s="171" t="str">
        <f t="shared" ca="1" si="9"/>
        <v/>
      </c>
      <c r="V17" s="172" t="str">
        <f t="shared" ca="1" si="10"/>
        <v/>
      </c>
      <c r="W17" s="547">
        <f ca="1">IF($Y17&gt;0,CHOOSE(MATCH(RegimeExecucao,{"Unitário","Global"},0),IF($A17="S",$Y17/$X17,""),($Y17/$X17)*100),0)</f>
        <v>0</v>
      </c>
      <c r="X17" s="383" t="str">
        <f ca="1">IF($Y17&gt;0,CHOOSE(MATCH(RegimeExecucao,{"Unitário","Global"},0),IF($A17="S",ROUND($H17,ORÇAMENTO!$AF$10),""),ROUND($I17,ORÇAMENTO!$AF$11)),"")</f>
        <v/>
      </c>
      <c r="Y17" s="383">
        <f t="shared" ca="1" si="11"/>
        <v>0</v>
      </c>
      <c r="Z17" s="384"/>
      <c r="AB17" s="381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382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x14ac:dyDescent="0.2">
      <c r="A18" t="str">
        <f ca="1">ORÇAMENTO!C18</f>
        <v>S</v>
      </c>
      <c r="B18">
        <f ca="1">ORÇAMENTO!D18</f>
        <v>0</v>
      </c>
      <c r="C18" s="116" t="str">
        <f t="shared" ca="1" si="1"/>
        <v/>
      </c>
      <c r="D18" s="119" t="str">
        <f ca="1">ORÇAMENTO!O18</f>
        <v>-</v>
      </c>
      <c r="E18" s="171" t="str">
        <f t="shared" ca="1" si="2"/>
        <v>(abra o arquivo 'Referência 04-2024.xls)</v>
      </c>
      <c r="F18" s="172" t="str">
        <f t="shared" ca="1" si="3"/>
        <v/>
      </c>
      <c r="G18" s="124" t="str">
        <f ca="1">IF(RegimeExecucao="Global","",ORÇAMENTO!T18)</f>
        <v/>
      </c>
      <c r="H18" s="124" t="str">
        <f ca="1">IF(RegimeExecucao="Global","",ORÇAMENTO!W18)</f>
        <v/>
      </c>
      <c r="I18" s="127">
        <f ca="1">ORÇAMENTO!X18</f>
        <v>0</v>
      </c>
      <c r="J18" s="377">
        <f t="shared" ca="1" si="4"/>
        <v>0</v>
      </c>
      <c r="K18" s="124">
        <f t="shared" ca="1" si="5"/>
        <v>0</v>
      </c>
      <c r="L18" s="378">
        <f t="shared" ca="1" si="6"/>
        <v>0</v>
      </c>
      <c r="M18" s="379">
        <f ca="1">IF($A18="S",VTOTALBM,IF($A18=0,0,ROUND(SomaAgrupBM,15-13*ORÇAMENTO!$AF$11)))</f>
        <v>0</v>
      </c>
      <c r="N18" s="380">
        <f t="shared" ca="1" si="7"/>
        <v>0</v>
      </c>
      <c r="O18" s="127">
        <f ca="1">IF($A18="S",VTOTALBM,IF($A18=0,0,ROUND(SomaAgrupBM,15-13*ORÇAMENTO!$AF$11)))</f>
        <v>0</v>
      </c>
      <c r="Q18" s="381"/>
      <c r="R18" s="382"/>
      <c r="T18" s="119" t="str">
        <f t="shared" ca="1" si="8"/>
        <v/>
      </c>
      <c r="U18" s="171" t="str">
        <f t="shared" ca="1" si="9"/>
        <v/>
      </c>
      <c r="V18" s="172" t="str">
        <f t="shared" ca="1" si="10"/>
        <v/>
      </c>
      <c r="W18" s="547">
        <f ca="1">IF($Y18&gt;0,CHOOSE(MATCH(RegimeExecucao,{"Unitário","Global"},0),IF($A18="S",$Y18/$X18,""),($Y18/$X18)*100),0)</f>
        <v>0</v>
      </c>
      <c r="X18" s="383" t="str">
        <f ca="1">IF($Y18&gt;0,CHOOSE(MATCH(RegimeExecucao,{"Unitário","Global"},0),IF($A18="S",ROUND($H18,ORÇAMENTO!$AF$10),""),ROUND($I18,ORÇAMENTO!$AF$11)),"")</f>
        <v/>
      </c>
      <c r="Y18" s="383">
        <f t="shared" ca="1" si="11"/>
        <v>0</v>
      </c>
      <c r="Z18" s="384"/>
      <c r="AB18" s="381"/>
      <c r="AC18" s="516"/>
      <c r="AD18" s="516"/>
      <c r="AE18" s="516"/>
      <c r="AF18" s="516"/>
      <c r="AG18" s="516"/>
      <c r="AH18" s="516"/>
      <c r="AI18" s="516"/>
      <c r="AJ18" s="516"/>
      <c r="AK18" s="516"/>
      <c r="AL18" s="516"/>
      <c r="AM18" s="382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x14ac:dyDescent="0.2">
      <c r="A19">
        <f ca="1">ORÇAMENTO!C19</f>
        <v>2</v>
      </c>
      <c r="B19">
        <f ca="1">ORÇAMENTO!D19</f>
        <v>2</v>
      </c>
      <c r="C19" s="116" t="str">
        <f t="shared" ca="1" si="1"/>
        <v>F</v>
      </c>
      <c r="D19" s="119" t="str">
        <f ca="1">ORÇAMENTO!O19</f>
        <v>1.2.</v>
      </c>
      <c r="E19" s="171" t="str">
        <f t="shared" si="2"/>
        <v>SERVIÇOS PRELIMINARES</v>
      </c>
      <c r="F19" s="172" t="str">
        <f t="shared" ca="1" si="3"/>
        <v/>
      </c>
      <c r="G19" s="124" t="str">
        <f ca="1">IF(RegimeExecucao="Global","",ORÇAMENTO!T19)</f>
        <v/>
      </c>
      <c r="H19" s="124" t="str">
        <f ca="1">IF(RegimeExecucao="Global","",ORÇAMENTO!W19)</f>
        <v/>
      </c>
      <c r="I19" s="127">
        <f ca="1">ORÇAMENTO!X19</f>
        <v>0</v>
      </c>
      <c r="J19" s="377">
        <f t="shared" ca="1" si="4"/>
        <v>0</v>
      </c>
      <c r="K19" s="124">
        <f t="shared" ca="1" si="5"/>
        <v>0</v>
      </c>
      <c r="L19" s="378">
        <f t="shared" ca="1" si="6"/>
        <v>0</v>
      </c>
      <c r="M19" s="379">
        <f ca="1">IF($A19="S",VTOTALBM,IF($A19=0,0,ROUND(SomaAgrupBM,15-13*ORÇAMENTO!$AF$11)))</f>
        <v>0</v>
      </c>
      <c r="N19" s="380">
        <f t="shared" ca="1" si="7"/>
        <v>0</v>
      </c>
      <c r="O19" s="127">
        <f ca="1">IF($A19="S",VTOTALBM,IF($A19=0,0,ROUND(SomaAgrupBM,15-13*ORÇAMENTO!$AF$11)))</f>
        <v>0</v>
      </c>
      <c r="Q19" s="381"/>
      <c r="R19" s="382"/>
      <c r="T19" s="119" t="str">
        <f t="shared" ca="1" si="8"/>
        <v/>
      </c>
      <c r="U19" s="171" t="str">
        <f t="shared" ca="1" si="9"/>
        <v/>
      </c>
      <c r="V19" s="172" t="str">
        <f t="shared" ca="1" si="10"/>
        <v/>
      </c>
      <c r="W19" s="547">
        <f ca="1">IF($Y19&gt;0,CHOOSE(MATCH(RegimeExecucao,{"Unitário","Global"},0),IF($A19="S",$Y19/$X19,""),($Y19/$X19)*100),0)</f>
        <v>0</v>
      </c>
      <c r="X19" s="383" t="str">
        <f ca="1">IF($Y19&gt;0,CHOOSE(MATCH(RegimeExecucao,{"Unitário","Global"},0),IF($A19="S",ROUND($H19,ORÇAMENTO!$AF$10),""),ROUND($I19,ORÇAMENTO!$AF$11)),"")</f>
        <v/>
      </c>
      <c r="Y19" s="383">
        <f t="shared" ca="1" si="11"/>
        <v>0</v>
      </c>
      <c r="Z19" s="384"/>
      <c r="AB19" s="381"/>
      <c r="AC19" s="516"/>
      <c r="AD19" s="516"/>
      <c r="AE19" s="516"/>
      <c r="AF19" s="516"/>
      <c r="AG19" s="516"/>
      <c r="AH19" s="516"/>
      <c r="AI19" s="516"/>
      <c r="AJ19" s="516"/>
      <c r="AK19" s="516"/>
      <c r="AL19" s="516"/>
      <c r="AM19" s="382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ht="25.5" x14ac:dyDescent="0.2">
      <c r="A20" t="str">
        <f ca="1">ORÇAMENTO!C20</f>
        <v>S</v>
      </c>
      <c r="B20">
        <f ca="1">ORÇAMENTO!D20</f>
        <v>0</v>
      </c>
      <c r="C20" s="116" t="str">
        <f t="shared" ca="1" si="1"/>
        <v/>
      </c>
      <c r="D20" s="119" t="str">
        <f ca="1">ORÇAMENTO!O20</f>
        <v>-</v>
      </c>
      <c r="E20" s="171" t="str">
        <f t="shared" ca="1" si="2"/>
        <v>(abra o arquivo 'Referência 04-2024.xls)</v>
      </c>
      <c r="F20" s="172" t="str">
        <f t="shared" ca="1" si="3"/>
        <v/>
      </c>
      <c r="G20" s="124" t="str">
        <f ca="1">IF(RegimeExecucao="Global","",ORÇAMENTO!T20)</f>
        <v/>
      </c>
      <c r="H20" s="124" t="str">
        <f ca="1">IF(RegimeExecucao="Global","",ORÇAMENTO!W20)</f>
        <v/>
      </c>
      <c r="I20" s="127">
        <f ca="1">ORÇAMENTO!X20</f>
        <v>0</v>
      </c>
      <c r="J20" s="377">
        <f t="shared" ca="1" si="4"/>
        <v>0</v>
      </c>
      <c r="K20" s="124">
        <f t="shared" ca="1" si="5"/>
        <v>0</v>
      </c>
      <c r="L20" s="378">
        <f t="shared" ca="1" si="6"/>
        <v>0</v>
      </c>
      <c r="M20" s="379">
        <f ca="1">IF($A20="S",VTOTALBM,IF($A20=0,0,ROUND(SomaAgrupBM,15-13*ORÇAMENTO!$AF$11)))</f>
        <v>0</v>
      </c>
      <c r="N20" s="380">
        <f t="shared" ca="1" si="7"/>
        <v>0</v>
      </c>
      <c r="O20" s="127">
        <f ca="1">IF($A20="S",VTOTALBM,IF($A20=0,0,ROUND(SomaAgrupBM,15-13*ORÇAMENTO!$AF$11)))</f>
        <v>0</v>
      </c>
      <c r="Q20" s="381"/>
      <c r="R20" s="382"/>
      <c r="T20" s="119" t="str">
        <f t="shared" ca="1" si="8"/>
        <v/>
      </c>
      <c r="U20" s="171" t="str">
        <f t="shared" ca="1" si="9"/>
        <v/>
      </c>
      <c r="V20" s="172" t="str">
        <f t="shared" ca="1" si="10"/>
        <v/>
      </c>
      <c r="W20" s="547">
        <f ca="1">IF($Y20&gt;0,CHOOSE(MATCH(RegimeExecucao,{"Unitário","Global"},0),IF($A20="S",$Y20/$X20,""),($Y20/$X20)*100),0)</f>
        <v>0</v>
      </c>
      <c r="X20" s="383" t="str">
        <f ca="1">IF($Y20&gt;0,CHOOSE(MATCH(RegimeExecucao,{"Unitário","Global"},0),IF($A20="S",ROUND($H20,ORÇAMENTO!$AF$10),""),ROUND($I20,ORÇAMENTO!$AF$11)),"")</f>
        <v/>
      </c>
      <c r="Y20" s="383">
        <f t="shared" ca="1" si="11"/>
        <v>0</v>
      </c>
      <c r="Z20" s="384"/>
      <c r="AB20" s="381"/>
      <c r="AC20" s="516"/>
      <c r="AD20" s="516"/>
      <c r="AE20" s="516"/>
      <c r="AF20" s="516"/>
      <c r="AG20" s="516"/>
      <c r="AH20" s="516"/>
      <c r="AI20" s="516"/>
      <c r="AJ20" s="516"/>
      <c r="AK20" s="516"/>
      <c r="AL20" s="516"/>
      <c r="AM20" s="382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x14ac:dyDescent="0.2">
      <c r="A21">
        <f ca="1">ORÇAMENTO!C21</f>
        <v>2</v>
      </c>
      <c r="B21">
        <f ca="1">ORÇAMENTO!D21</f>
        <v>2</v>
      </c>
      <c r="C21" s="116" t="str">
        <f t="shared" ref="C21:C22" ca="1" si="12">IF(OR($I21&gt;0,$A21=1,$A21=2,$A21=3,$A21=4),"F","")</f>
        <v>F</v>
      </c>
      <c r="D21" s="119" t="str">
        <f ca="1">ORÇAMENTO!O21</f>
        <v>1.3.</v>
      </c>
      <c r="E21" s="171" t="str">
        <f>ORÇAMENTO.Descricao</f>
        <v>TERRAPLANAGEM</v>
      </c>
      <c r="F21" s="172" t="str">
        <f ca="1">IF(RegimeExecucao="Global","",ORÇAMENTO.Unidade)</f>
        <v/>
      </c>
      <c r="G21" s="124" t="str">
        <f ca="1">IF(RegimeExecucao="Global","",ORÇAMENTO!T21)</f>
        <v/>
      </c>
      <c r="H21" s="124" t="str">
        <f ca="1">IF(RegimeExecucao="Global","",ORÇAMENTO!W21)</f>
        <v/>
      </c>
      <c r="I21" s="127">
        <f ca="1">ORÇAMENTO!X21</f>
        <v>0</v>
      </c>
      <c r="J21" s="377">
        <f ca="1">IF($A21="S",IF(CAIXA.Modo,BM.AFAnterior,BM.MEDAnterior),IF(AND(RegimeExecucao="Global",$I21&gt;0,COUNTIF($AB$13:$AM$13,BM.medicao-1)&gt;0),M21/$I21*100,0))</f>
        <v>0</v>
      </c>
      <c r="K21" s="124">
        <f t="shared" ref="K21:K22" ca="1" si="13">L21-J21</f>
        <v>0</v>
      </c>
      <c r="L21" s="378">
        <f ca="1">IF($A21="S",IF(CAIXA.Modo,BM.AFAcumulado,BM.MEDAcumulado),IF(AND(RegimeExecucao="Global",$I21&gt;0,COUNTIF($AB$13:$AM$13,BM.medicao)&gt;0),O21/$I21*100,0))</f>
        <v>0</v>
      </c>
      <c r="M21" s="379">
        <f ca="1">IF($A21="S",VTOTALBM,IF($A21=0,0,ROUND(SomaAgrupBM,15-13*ORÇAMENTO!$AF$11)))</f>
        <v>0</v>
      </c>
      <c r="N21" s="380">
        <f t="shared" ref="N21:N22" ca="1" si="14">O21-M21</f>
        <v>0</v>
      </c>
      <c r="O21" s="127">
        <f ca="1">IF($A21="S",VTOTALBM,IF($A21=0,0,ROUND(SomaAgrupBM,15-13*ORÇAMENTO!$AF$11)))</f>
        <v>0</v>
      </c>
      <c r="Q21" s="381"/>
      <c r="R21" s="382"/>
      <c r="T21" s="119" t="str">
        <f t="shared" ref="T21:T22" ca="1" si="15">IF($W21&gt;0,$D21,"")</f>
        <v/>
      </c>
      <c r="U21" s="171" t="str">
        <f t="shared" ref="U21:U22" ca="1" si="16">IF($W21&gt;0,$E21,"")</f>
        <v/>
      </c>
      <c r="V21" s="172" t="str">
        <f ca="1">IF(AND($W21&gt;0,RegimeExecucao="Unitário"),$F21,"")</f>
        <v/>
      </c>
      <c r="W21" s="547">
        <f ca="1">IF($Y21&gt;0,CHOOSE(MATCH(RegimeExecucao,{"Unitário","Global"},0),IF($A21="S",$Y21/$X21,""),($Y21/$X21)*100),0)</f>
        <v>0</v>
      </c>
      <c r="X21" s="383" t="str">
        <f ca="1">IF($Y21&gt;0,CHOOSE(MATCH(RegimeExecucao,{"Unitário","Global"},0),IF($A21="S",ROUND($H21,ORÇAMENTO!$AF$10),""),ROUND($I21,ORÇAMENTO!$AF$11)),"")</f>
        <v/>
      </c>
      <c r="Y21" s="383">
        <f t="shared" ref="Y21:Y22" ca="1" si="17">AO21-O21</f>
        <v>0</v>
      </c>
      <c r="Z21" s="384"/>
      <c r="AB21" s="381"/>
      <c r="AC21" s="516"/>
      <c r="AD21" s="516"/>
      <c r="AE21" s="516"/>
      <c r="AF21" s="516"/>
      <c r="AG21" s="516"/>
      <c r="AH21" s="516"/>
      <c r="AI21" s="516"/>
      <c r="AJ21" s="516"/>
      <c r="AK21" s="516"/>
      <c r="AL21" s="516"/>
      <c r="AM21" s="382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ht="25.5" x14ac:dyDescent="0.2">
      <c r="A22" t="str">
        <f ca="1">ORÇAMENTO!C22</f>
        <v>S</v>
      </c>
      <c r="B22">
        <f ca="1">ORÇAMENTO!D22</f>
        <v>0</v>
      </c>
      <c r="C22" s="116" t="str">
        <f t="shared" ca="1" si="12"/>
        <v/>
      </c>
      <c r="D22" s="119" t="str">
        <f ca="1">ORÇAMENTO!O22</f>
        <v>-</v>
      </c>
      <c r="E22" s="171" t="str">
        <f ca="1">ORÇAMENTO.Descricao</f>
        <v>(abra o arquivo 'Referência 04-2024.xls)</v>
      </c>
      <c r="F22" s="172" t="str">
        <f ca="1">IF(RegimeExecucao="Global","",ORÇAMENTO.Unidade)</f>
        <v/>
      </c>
      <c r="G22" s="124" t="str">
        <f ca="1">IF(RegimeExecucao="Global","",ORÇAMENTO!T22)</f>
        <v/>
      </c>
      <c r="H22" s="124" t="str">
        <f ca="1">IF(RegimeExecucao="Global","",ORÇAMENTO!W22)</f>
        <v/>
      </c>
      <c r="I22" s="127">
        <f ca="1">ORÇAMENTO!X22</f>
        <v>0</v>
      </c>
      <c r="J22" s="377">
        <f ca="1">IF($A22="S",IF(CAIXA.Modo,BM.AFAnterior,BM.MEDAnterior),IF(AND(RegimeExecucao="Global",$I22&gt;0,COUNTIF($AB$13:$AM$13,BM.medicao-1)&gt;0),M22/$I22*100,0))</f>
        <v>0</v>
      </c>
      <c r="K22" s="124">
        <f t="shared" ca="1" si="13"/>
        <v>0</v>
      </c>
      <c r="L22" s="378">
        <f ca="1">IF($A22="S",IF(CAIXA.Modo,BM.AFAcumulado,BM.MEDAcumulado),IF(AND(RegimeExecucao="Global",$I22&gt;0,COUNTIF($AB$13:$AM$13,BM.medicao)&gt;0),O22/$I22*100,0))</f>
        <v>0</v>
      </c>
      <c r="M22" s="379">
        <f ca="1">IF($A22="S",VTOTALBM,IF($A22=0,0,ROUND(SomaAgrupBM,15-13*ORÇAMENTO!$AF$11)))</f>
        <v>0</v>
      </c>
      <c r="N22" s="380">
        <f t="shared" ca="1" si="14"/>
        <v>0</v>
      </c>
      <c r="O22" s="127">
        <f ca="1">IF($A22="S",VTOTALBM,IF($A22=0,0,ROUND(SomaAgrupBM,15-13*ORÇAMENTO!$AF$11)))</f>
        <v>0</v>
      </c>
      <c r="Q22" s="381"/>
      <c r="R22" s="382"/>
      <c r="T22" s="119" t="str">
        <f t="shared" ca="1" si="15"/>
        <v/>
      </c>
      <c r="U22" s="171" t="str">
        <f t="shared" ca="1" si="16"/>
        <v/>
      </c>
      <c r="V22" s="172" t="str">
        <f ca="1">IF(AND($W22&gt;0,RegimeExecucao="Unitário"),$F22,"")</f>
        <v/>
      </c>
      <c r="W22" s="547">
        <f ca="1">IF($Y22&gt;0,CHOOSE(MATCH(RegimeExecucao,{"Unitário","Global"},0),IF($A22="S",$Y22/$X22,""),($Y22/$X22)*100),0)</f>
        <v>0</v>
      </c>
      <c r="X22" s="383" t="str">
        <f ca="1">IF($Y22&gt;0,CHOOSE(MATCH(RegimeExecucao,{"Unitário","Global"},0),IF($A22="S",ROUND($H22,ORÇAMENTO!$AF$10),""),ROUND($I22,ORÇAMENTO!$AF$11)),"")</f>
        <v/>
      </c>
      <c r="Y22" s="383">
        <f t="shared" ca="1" si="17"/>
        <v>0</v>
      </c>
      <c r="Z22" s="384"/>
      <c r="AB22" s="381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382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x14ac:dyDescent="0.2">
      <c r="A23">
        <f ca="1">ORÇAMENTO!C23</f>
        <v>2</v>
      </c>
      <c r="B23">
        <f ca="1">ORÇAMENTO!D23</f>
        <v>6</v>
      </c>
      <c r="C23" s="116" t="str">
        <f t="shared" ca="1" si="1"/>
        <v>F</v>
      </c>
      <c r="D23" s="119" t="str">
        <f ca="1">ORÇAMENTO!O23</f>
        <v>1.4.</v>
      </c>
      <c r="E23" s="171" t="str">
        <f t="shared" si="2"/>
        <v>PAVIMENTAÇÃO - PISTA</v>
      </c>
      <c r="F23" s="172" t="str">
        <f t="shared" ca="1" si="3"/>
        <v/>
      </c>
      <c r="G23" s="124" t="str">
        <f ca="1">IF(RegimeExecucao="Global","",ORÇAMENTO!T23)</f>
        <v/>
      </c>
      <c r="H23" s="124" t="str">
        <f ca="1">IF(RegimeExecucao="Global","",ORÇAMENTO!W23)</f>
        <v/>
      </c>
      <c r="I23" s="127">
        <f ca="1">ORÇAMENTO!X23</f>
        <v>0</v>
      </c>
      <c r="J23" s="377">
        <f t="shared" ca="1" si="4"/>
        <v>0</v>
      </c>
      <c r="K23" s="124">
        <f t="shared" ca="1" si="5"/>
        <v>0</v>
      </c>
      <c r="L23" s="378">
        <f t="shared" ca="1" si="6"/>
        <v>0</v>
      </c>
      <c r="M23" s="379">
        <f ca="1">IF($A23="S",VTOTALBM,IF($A23=0,0,ROUND(SomaAgrupBM,15-13*ORÇAMENTO!$AF$11)))</f>
        <v>0</v>
      </c>
      <c r="N23" s="380">
        <f t="shared" ca="1" si="7"/>
        <v>0</v>
      </c>
      <c r="O23" s="127">
        <f ca="1">IF($A23="S",VTOTALBM,IF($A23=0,0,ROUND(SomaAgrupBM,15-13*ORÇAMENTO!$AF$11)))</f>
        <v>0</v>
      </c>
      <c r="Q23" s="381"/>
      <c r="R23" s="382"/>
      <c r="T23" s="119" t="str">
        <f t="shared" ca="1" si="8"/>
        <v/>
      </c>
      <c r="U23" s="171" t="str">
        <f t="shared" ca="1" si="9"/>
        <v/>
      </c>
      <c r="V23" s="172" t="str">
        <f t="shared" ca="1" si="10"/>
        <v/>
      </c>
      <c r="W23" s="547">
        <f ca="1">IF($Y23&gt;0,CHOOSE(MATCH(RegimeExecucao,{"Unitário","Global"},0),IF($A23="S",$Y23/$X23,""),($Y23/$X23)*100),0)</f>
        <v>0</v>
      </c>
      <c r="X23" s="383" t="str">
        <f ca="1">IF($Y23&gt;0,CHOOSE(MATCH(RegimeExecucao,{"Unitário","Global"},0),IF($A23="S",ROUND($H23,ORÇAMENTO!$AF$10),""),ROUND($I23,ORÇAMENTO!$AF$11)),"")</f>
        <v/>
      </c>
      <c r="Y23" s="383">
        <f t="shared" ca="1" si="11"/>
        <v>0</v>
      </c>
      <c r="Z23" s="384"/>
      <c r="AB23" s="381"/>
      <c r="AC23" s="516"/>
      <c r="AD23" s="516"/>
      <c r="AE23" s="516"/>
      <c r="AF23" s="516"/>
      <c r="AG23" s="516"/>
      <c r="AH23" s="516"/>
      <c r="AI23" s="516"/>
      <c r="AJ23" s="516"/>
      <c r="AK23" s="516"/>
      <c r="AL23" s="516"/>
      <c r="AM23" s="382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x14ac:dyDescent="0.2">
      <c r="A24">
        <f ca="1">ORÇAMENTO!C24</f>
        <v>3</v>
      </c>
      <c r="B24">
        <f ca="1">ORÇAMENTO!D24</f>
        <v>5</v>
      </c>
      <c r="C24" s="116" t="str">
        <f ca="1">IF(OR($I24&gt;0,$A24=1,$A24=2,$A24=3,$A24=4),"F","")</f>
        <v>F</v>
      </c>
      <c r="D24" s="119" t="str">
        <f ca="1">ORÇAMENTO!O24</f>
        <v>1.4.1.</v>
      </c>
      <c r="E24" s="171" t="str">
        <f>ORÇAMENTO.Descricao</f>
        <v>Pavimentação da pista de rolamento com Paralelepípedo</v>
      </c>
      <c r="F24" s="172" t="str">
        <f ca="1">IF(RegimeExecucao="Global","",ORÇAMENTO.Unidade)</f>
        <v/>
      </c>
      <c r="G24" s="124" t="str">
        <f ca="1">IF(RegimeExecucao="Global","",ORÇAMENTO!T24)</f>
        <v/>
      </c>
      <c r="H24" s="124" t="str">
        <f ca="1">IF(RegimeExecucao="Global","",ORÇAMENTO!W24)</f>
        <v/>
      </c>
      <c r="I24" s="127">
        <f ca="1">ORÇAMENTO!X24</f>
        <v>0</v>
      </c>
      <c r="J24" s="377">
        <f ca="1">IF($A24="S",IF(CAIXA.Modo,BM.AFAnterior,BM.MEDAnterior),IF(AND(RegimeExecucao="Global",$I24&gt;0,COUNTIF($AB$13:$AM$13,BM.medicao-1)&gt;0),M24/$I24*100,0))</f>
        <v>0</v>
      </c>
      <c r="K24" s="124">
        <f ca="1">L24-J24</f>
        <v>0</v>
      </c>
      <c r="L24" s="378">
        <f ca="1">IF($A24="S",IF(CAIXA.Modo,BM.AFAcumulado,BM.MEDAcumulado),IF(AND(RegimeExecucao="Global",$I24&gt;0,COUNTIF($AB$13:$AM$13,BM.medicao)&gt;0),O24/$I24*100,0))</f>
        <v>0</v>
      </c>
      <c r="M24" s="379">
        <f ca="1">IF($A24="S",VTOTALBM,IF($A24=0,0,ROUND(SomaAgrupBM,15-13*ORÇAMENTO!$AF$11)))</f>
        <v>0</v>
      </c>
      <c r="N24" s="380">
        <f ca="1">O24-M24</f>
        <v>0</v>
      </c>
      <c r="O24" s="127">
        <f ca="1">IF($A24="S",VTOTALBM,IF($A24=0,0,ROUND(SomaAgrupBM,15-13*ORÇAMENTO!$AF$11)))</f>
        <v>0</v>
      </c>
      <c r="Q24" s="381"/>
      <c r="R24" s="382"/>
      <c r="T24" s="119" t="str">
        <f ca="1">IF($W24&gt;0,$D24,"")</f>
        <v/>
      </c>
      <c r="U24" s="171" t="str">
        <f ca="1">IF($W24&gt;0,$E24,"")</f>
        <v/>
      </c>
      <c r="V24" s="172" t="str">
        <f ca="1">IF(AND($W24&gt;0,RegimeExecucao="Unitário"),$F24,"")</f>
        <v/>
      </c>
      <c r="W24" s="547">
        <f ca="1">IF($Y24&gt;0,CHOOSE(MATCH(RegimeExecucao,{"Unitário","Global"},0),IF($A24="S",$Y24/$X24,""),($Y24/$X24)*100),0)</f>
        <v>0</v>
      </c>
      <c r="X24" s="383" t="str">
        <f ca="1">IF($Y24&gt;0,CHOOSE(MATCH(RegimeExecucao,{"Unitário","Global"},0),IF($A24="S",ROUND($H24,ORÇAMENTO!$AF$10),""),ROUND($I24,ORÇAMENTO!$AF$11)),"")</f>
        <v/>
      </c>
      <c r="Y24" s="383">
        <f ca="1">AO24-O24</f>
        <v>0</v>
      </c>
      <c r="Z24" s="384"/>
      <c r="AB24" s="381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382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ht="25.5" x14ac:dyDescent="0.2">
      <c r="A25" t="str">
        <f ca="1">ORÇAMENTO!C25</f>
        <v>S</v>
      </c>
      <c r="B25">
        <f ca="1">ORÇAMENTO!D25</f>
        <v>0</v>
      </c>
      <c r="C25" s="116" t="str">
        <f ca="1">IF(OR($I25&gt;0,$A25=1,$A25=2,$A25=3,$A25=4),"F","")</f>
        <v/>
      </c>
      <c r="D25" s="119" t="str">
        <f ca="1">ORÇAMENTO!O25</f>
        <v>-</v>
      </c>
      <c r="E25" s="171" t="str">
        <f ca="1">ORÇAMENTO.Descricao</f>
        <v>(abra o arquivo 'Referência 04-2024.xls)</v>
      </c>
      <c r="F25" s="172" t="str">
        <f ca="1">IF(RegimeExecucao="Global","",ORÇAMENTO.Unidade)</f>
        <v/>
      </c>
      <c r="G25" s="124" t="str">
        <f ca="1">IF(RegimeExecucao="Global","",ORÇAMENTO!T25)</f>
        <v/>
      </c>
      <c r="H25" s="124" t="str">
        <f ca="1">IF(RegimeExecucao="Global","",ORÇAMENTO!W25)</f>
        <v/>
      </c>
      <c r="I25" s="127">
        <f ca="1">ORÇAMENTO!X25</f>
        <v>0</v>
      </c>
      <c r="J25" s="377">
        <f ca="1">IF($A25="S",IF(CAIXA.Modo,BM.AFAnterior,BM.MEDAnterior),IF(AND(RegimeExecucao="Global",$I25&gt;0,COUNTIF($AB$13:$AM$13,BM.medicao-1)&gt;0),M25/$I25*100,0))</f>
        <v>0</v>
      </c>
      <c r="K25" s="124">
        <f ca="1">L25-J25</f>
        <v>0</v>
      </c>
      <c r="L25" s="378">
        <f ca="1">IF($A25="S",IF(CAIXA.Modo,BM.AFAcumulado,BM.MEDAcumulado),IF(AND(RegimeExecucao="Global",$I25&gt;0,COUNTIF($AB$13:$AM$13,BM.medicao)&gt;0),O25/$I25*100,0))</f>
        <v>0</v>
      </c>
      <c r="M25" s="379">
        <f ca="1">IF($A25="S",VTOTALBM,IF($A25=0,0,ROUND(SomaAgrupBM,15-13*ORÇAMENTO!$AF$11)))</f>
        <v>0</v>
      </c>
      <c r="N25" s="380">
        <f ca="1">O25-M25</f>
        <v>0</v>
      </c>
      <c r="O25" s="127">
        <f ca="1">IF($A25="S",VTOTALBM,IF($A25=0,0,ROUND(SomaAgrupBM,15-13*ORÇAMENTO!$AF$11)))</f>
        <v>0</v>
      </c>
      <c r="Q25" s="381"/>
      <c r="R25" s="382"/>
      <c r="T25" s="119" t="str">
        <f ca="1">IF($W25&gt;0,$D25,"")</f>
        <v/>
      </c>
      <c r="U25" s="171" t="str">
        <f ca="1">IF($W25&gt;0,$E25,"")</f>
        <v/>
      </c>
      <c r="V25" s="172" t="str">
        <f ca="1">IF(AND($W25&gt;0,RegimeExecucao="Unitário"),$F25,"")</f>
        <v/>
      </c>
      <c r="W25" s="547">
        <f ca="1">IF($Y25&gt;0,CHOOSE(MATCH(RegimeExecucao,{"Unitário","Global"},0),IF($A25="S",$Y25/$X25,""),($Y25/$X25)*100),0)</f>
        <v>0</v>
      </c>
      <c r="X25" s="383" t="str">
        <f ca="1">IF($Y25&gt;0,CHOOSE(MATCH(RegimeExecucao,{"Unitário","Global"},0),IF($A25="S",ROUND($H25,ORÇAMENTO!$AF$10),""),ROUND($I25,ORÇAMENTO!$AF$11)),"")</f>
        <v/>
      </c>
      <c r="Y25" s="383">
        <f ca="1">AO25-O25</f>
        <v>0</v>
      </c>
      <c r="Z25" s="384"/>
      <c r="AB25" s="381"/>
      <c r="AC25" s="516"/>
      <c r="AD25" s="516"/>
      <c r="AE25" s="516"/>
      <c r="AF25" s="516"/>
      <c r="AG25" s="516"/>
      <c r="AH25" s="516"/>
      <c r="AI25" s="516"/>
      <c r="AJ25" s="516"/>
      <c r="AK25" s="516"/>
      <c r="AL25" s="516"/>
      <c r="AM25" s="382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ht="38.25" x14ac:dyDescent="0.2">
      <c r="A26" t="str">
        <f ca="1">ORÇAMENTO!C26</f>
        <v>S</v>
      </c>
      <c r="B26">
        <f ca="1">ORÇAMENTO!D26</f>
        <v>0</v>
      </c>
      <c r="C26" s="116" t="str">
        <f t="shared" ca="1" si="1"/>
        <v/>
      </c>
      <c r="D26" s="119" t="str">
        <f ca="1">ORÇAMENTO!O26</f>
        <v>-</v>
      </c>
      <c r="E26" s="171" t="str">
        <f t="shared" ca="1" si="2"/>
        <v>(abra o arquivo 'Referência 04-2024.xls)</v>
      </c>
      <c r="F26" s="172" t="str">
        <f t="shared" ca="1" si="3"/>
        <v/>
      </c>
      <c r="G26" s="124" t="str">
        <f ca="1">IF(RegimeExecucao="Global","",ORÇAMENTO!T26)</f>
        <v/>
      </c>
      <c r="H26" s="124" t="str">
        <f ca="1">IF(RegimeExecucao="Global","",ORÇAMENTO!W26)</f>
        <v/>
      </c>
      <c r="I26" s="127">
        <f ca="1">ORÇAMENTO!X26</f>
        <v>0</v>
      </c>
      <c r="J26" s="377">
        <f t="shared" ca="1" si="4"/>
        <v>0</v>
      </c>
      <c r="K26" s="124">
        <f t="shared" ca="1" si="5"/>
        <v>0</v>
      </c>
      <c r="L26" s="378">
        <f t="shared" ca="1" si="6"/>
        <v>0</v>
      </c>
      <c r="M26" s="379">
        <f ca="1">IF($A26="S",VTOTALBM,IF($A26=0,0,ROUND(SomaAgrupBM,15-13*ORÇAMENTO!$AF$11)))</f>
        <v>0</v>
      </c>
      <c r="N26" s="380">
        <f t="shared" ca="1" si="7"/>
        <v>0</v>
      </c>
      <c r="O26" s="127">
        <f ca="1">IF($A26="S",VTOTALBM,IF($A26=0,0,ROUND(SomaAgrupBM,15-13*ORÇAMENTO!$AF$11)))</f>
        <v>0</v>
      </c>
      <c r="Q26" s="381"/>
      <c r="R26" s="382"/>
      <c r="T26" s="119" t="str">
        <f t="shared" ca="1" si="8"/>
        <v/>
      </c>
      <c r="U26" s="171" t="str">
        <f t="shared" ca="1" si="9"/>
        <v/>
      </c>
      <c r="V26" s="172" t="str">
        <f t="shared" ca="1" si="10"/>
        <v/>
      </c>
      <c r="W26" s="547">
        <f ca="1">IF($Y26&gt;0,CHOOSE(MATCH(RegimeExecucao,{"Unitário","Global"},0),IF($A26="S",$Y26/$X26,""),($Y26/$X26)*100),0)</f>
        <v>0</v>
      </c>
      <c r="X26" s="383" t="str">
        <f ca="1">IF($Y26&gt;0,CHOOSE(MATCH(RegimeExecucao,{"Unitário","Global"},0),IF($A26="S",ROUND($H26,ORÇAMENTO!$AF$10),""),ROUND($I26,ORÇAMENTO!$AF$11)),"")</f>
        <v/>
      </c>
      <c r="Y26" s="383">
        <f t="shared" ca="1" si="11"/>
        <v>0</v>
      </c>
      <c r="Z26" s="384"/>
      <c r="AB26" s="381"/>
      <c r="AC26" s="516"/>
      <c r="AD26" s="516"/>
      <c r="AE26" s="516"/>
      <c r="AF26" s="516"/>
      <c r="AG26" s="516"/>
      <c r="AH26" s="516"/>
      <c r="AI26" s="516"/>
      <c r="AJ26" s="516"/>
      <c r="AK26" s="516"/>
      <c r="AL26" s="516"/>
      <c r="AM26" s="382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ht="38.25" x14ac:dyDescent="0.2">
      <c r="A27" t="str">
        <f ca="1">ORÇAMENTO!C27</f>
        <v>S</v>
      </c>
      <c r="B27">
        <f ca="1">ORÇAMENTO!D27</f>
        <v>0</v>
      </c>
      <c r="C27" s="116" t="str">
        <f t="shared" ca="1" si="1"/>
        <v/>
      </c>
      <c r="D27" s="119" t="str">
        <f ca="1">ORÇAMENTO!O27</f>
        <v>-</v>
      </c>
      <c r="E27" s="171" t="str">
        <f t="shared" ca="1" si="2"/>
        <v>(abra o arquivo 'Referência 04-2024.xls)</v>
      </c>
      <c r="F27" s="172" t="str">
        <f t="shared" ca="1" si="3"/>
        <v/>
      </c>
      <c r="G27" s="124" t="str">
        <f ca="1">IF(RegimeExecucao="Global","",ORÇAMENTO!T27)</f>
        <v/>
      </c>
      <c r="H27" s="124" t="str">
        <f ca="1">IF(RegimeExecucao="Global","",ORÇAMENTO!W27)</f>
        <v/>
      </c>
      <c r="I27" s="127">
        <f ca="1">ORÇAMENTO!X27</f>
        <v>0</v>
      </c>
      <c r="J27" s="377">
        <f t="shared" ca="1" si="4"/>
        <v>0</v>
      </c>
      <c r="K27" s="124">
        <f t="shared" ca="1" si="5"/>
        <v>0</v>
      </c>
      <c r="L27" s="378">
        <f t="shared" ca="1" si="6"/>
        <v>0</v>
      </c>
      <c r="M27" s="379">
        <f ca="1">IF($A27="S",VTOTALBM,IF($A27=0,0,ROUND(SomaAgrupBM,15-13*ORÇAMENTO!$AF$11)))</f>
        <v>0</v>
      </c>
      <c r="N27" s="380">
        <f t="shared" ca="1" si="7"/>
        <v>0</v>
      </c>
      <c r="O27" s="127">
        <f ca="1">IF($A27="S",VTOTALBM,IF($A27=0,0,ROUND(SomaAgrupBM,15-13*ORÇAMENTO!$AF$11)))</f>
        <v>0</v>
      </c>
      <c r="Q27" s="381"/>
      <c r="R27" s="382"/>
      <c r="T27" s="119" t="str">
        <f t="shared" ca="1" si="8"/>
        <v/>
      </c>
      <c r="U27" s="171" t="str">
        <f t="shared" ca="1" si="9"/>
        <v/>
      </c>
      <c r="V27" s="172" t="str">
        <f t="shared" ca="1" si="10"/>
        <v/>
      </c>
      <c r="W27" s="547">
        <f ca="1">IF($Y27&gt;0,CHOOSE(MATCH(RegimeExecucao,{"Unitário","Global"},0),IF($A27="S",$Y27/$X27,""),($Y27/$X27)*100),0)</f>
        <v>0</v>
      </c>
      <c r="X27" s="383" t="str">
        <f ca="1">IF($Y27&gt;0,CHOOSE(MATCH(RegimeExecucao,{"Unitário","Global"},0),IF($A27="S",ROUND($H27,ORÇAMENTO!$AF$10),""),ROUND($I27,ORÇAMENTO!$AF$11)),"")</f>
        <v/>
      </c>
      <c r="Y27" s="383">
        <f t="shared" ca="1" si="11"/>
        <v>0</v>
      </c>
      <c r="Z27" s="384"/>
      <c r="AB27" s="381"/>
      <c r="AC27" s="516"/>
      <c r="AD27" s="516"/>
      <c r="AE27" s="516"/>
      <c r="AF27" s="516"/>
      <c r="AG27" s="516"/>
      <c r="AH27" s="516"/>
      <c r="AI27" s="516"/>
      <c r="AJ27" s="516"/>
      <c r="AK27" s="516"/>
      <c r="AL27" s="516"/>
      <c r="AM27" s="382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s="577" customFormat="1" ht="38.25" x14ac:dyDescent="0.2">
      <c r="A28" s="577" t="str">
        <f ca="1">ORÇAMENTO!C28</f>
        <v>S</v>
      </c>
      <c r="B28" s="577">
        <f ca="1">ORÇAMENTO!D28</f>
        <v>0</v>
      </c>
      <c r="C28" s="116" t="str">
        <f ca="1">IF(OR($I28&gt;0,$A28=1,$A28=2,$A28=3,$A28=4),"F","")</f>
        <v/>
      </c>
      <c r="D28" s="119" t="str">
        <f ca="1">ORÇAMENTO!O28</f>
        <v>-</v>
      </c>
      <c r="E28" s="171" t="str">
        <f ca="1">ORÇAMENTO.Descricao</f>
        <v>(abra o arquivo 'Referência 04-2024.xls)</v>
      </c>
      <c r="F28" s="172" t="str">
        <f ca="1">IF(RegimeExecucao="Global","",ORÇAMENTO.Unidade)</f>
        <v/>
      </c>
      <c r="G28" s="124" t="str">
        <f ca="1">IF(RegimeExecucao="Global","",ORÇAMENTO!T28)</f>
        <v/>
      </c>
      <c r="H28" s="124" t="str">
        <f ca="1">IF(RegimeExecucao="Global","",ORÇAMENTO!W28)</f>
        <v/>
      </c>
      <c r="I28" s="127">
        <f ca="1">ORÇAMENTO!X28</f>
        <v>0</v>
      </c>
      <c r="J28" s="377">
        <f ca="1">IF($A28="S",IF(CAIXA.Modo,BM.AFAnterior,BM.MEDAnterior),IF(AND(RegimeExecucao="Global",$I28&gt;0,COUNTIF($AB$13:$AM$13,BM.medicao-1)&gt;0),M28/$I28*100,0))</f>
        <v>0</v>
      </c>
      <c r="K28" s="124">
        <f ca="1">L28-J28</f>
        <v>0</v>
      </c>
      <c r="L28" s="378">
        <f ca="1">IF($A28="S",IF(CAIXA.Modo,BM.AFAcumulado,BM.MEDAcumulado),IF(AND(RegimeExecucao="Global",$I28&gt;0,COUNTIF($AB$13:$AM$13,BM.medicao)&gt;0),O28/$I28*100,0))</f>
        <v>0</v>
      </c>
      <c r="M28" s="379">
        <f ca="1">IF($A28="S",VTOTALBM,IF($A28=0,0,ROUND(SomaAgrupBM,15-13*ORÇAMENTO!$AF$11)))</f>
        <v>0</v>
      </c>
      <c r="N28" s="380">
        <f ca="1">O28-M28</f>
        <v>0</v>
      </c>
      <c r="O28" s="127">
        <f ca="1">IF($A28="S",VTOTALBM,IF($A28=0,0,ROUND(SomaAgrupBM,15-13*ORÇAMENTO!$AF$11)))</f>
        <v>0</v>
      </c>
      <c r="Q28" s="381"/>
      <c r="R28" s="382"/>
      <c r="T28" s="119" t="str">
        <f ca="1">IF($W28&gt;0,$D28,"")</f>
        <v/>
      </c>
      <c r="U28" s="171" t="str">
        <f ca="1">IF($W28&gt;0,$E28,"")</f>
        <v/>
      </c>
      <c r="V28" s="172" t="str">
        <f ca="1">IF(AND($W28&gt;0,RegimeExecucao="Unitário"),$F28,"")</f>
        <v/>
      </c>
      <c r="W28" s="547">
        <f ca="1">IF($Y28&gt;0,CHOOSE(MATCH(RegimeExecucao,{"Unitário","Global"},0),IF($A28="S",$Y28/$X28,""),($Y28/$X28)*100),0)</f>
        <v>0</v>
      </c>
      <c r="X28" s="383" t="str">
        <f ca="1">IF($Y28&gt;0,CHOOSE(MATCH(RegimeExecucao,{"Unitário","Global"},0),IF($A28="S",ROUND($H28,ORÇAMENTO!$AF$10),""),ROUND($I28,ORÇAMENTO!$AF$11)),"")</f>
        <v/>
      </c>
      <c r="Y28" s="383">
        <f ca="1">AO28-O28</f>
        <v>0</v>
      </c>
      <c r="Z28" s="384"/>
      <c r="AB28" s="381"/>
      <c r="AC28" s="516"/>
      <c r="AD28" s="516"/>
      <c r="AE28" s="516"/>
      <c r="AF28" s="516"/>
      <c r="AG28" s="516"/>
      <c r="AH28" s="516"/>
      <c r="AI28" s="516"/>
      <c r="AJ28" s="516"/>
      <c r="AK28" s="516"/>
      <c r="AL28" s="516"/>
      <c r="AM28" s="382"/>
      <c r="AO28" s="577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x14ac:dyDescent="0.2">
      <c r="A29">
        <f ca="1">ORÇAMENTO!C29</f>
        <v>2</v>
      </c>
      <c r="B29">
        <f ca="1">ORÇAMENTO!D29</f>
        <v>3</v>
      </c>
      <c r="C29" s="116" t="str">
        <f t="shared" ref="C29:C30" ca="1" si="18">IF(OR($I29&gt;0,$A29=1,$A29=2,$A29=3,$A29=4),"F","")</f>
        <v>F</v>
      </c>
      <c r="D29" s="119" t="str">
        <f ca="1">ORÇAMENTO!O29</f>
        <v>1.5.</v>
      </c>
      <c r="E29" s="171" t="str">
        <f t="shared" ref="E29:E30" si="19">ORÇAMENTO.Descricao</f>
        <v>SINALIZAÇÃO VERTICAL</v>
      </c>
      <c r="F29" s="172" t="str">
        <f t="shared" ref="F29:F30" ca="1" si="20">IF(RegimeExecucao="Global","",ORÇAMENTO.Unidade)</f>
        <v/>
      </c>
      <c r="G29" s="124" t="str">
        <f ca="1">IF(RegimeExecucao="Global","",ORÇAMENTO!T29)</f>
        <v/>
      </c>
      <c r="H29" s="124" t="str">
        <f ca="1">IF(RegimeExecucao="Global","",ORÇAMENTO!W29)</f>
        <v/>
      </c>
      <c r="I29" s="127">
        <f ca="1">ORÇAMENTO!X29</f>
        <v>0</v>
      </c>
      <c r="J29" s="377">
        <f t="shared" ref="J29:J30" ca="1" si="21">IF($A29="S",IF(CAIXA.Modo,BM.AFAnterior,BM.MEDAnterior),IF(AND(RegimeExecucao="Global",$I29&gt;0,COUNTIF($AB$13:$AM$13,BM.medicao-1)&gt;0),M29/$I29*100,0))</f>
        <v>0</v>
      </c>
      <c r="K29" s="124">
        <f t="shared" ref="K29:K30" ca="1" si="22">L29-J29</f>
        <v>0</v>
      </c>
      <c r="L29" s="378">
        <f t="shared" ref="L29:L30" ca="1" si="23">IF($A29="S",IF(CAIXA.Modo,BM.AFAcumulado,BM.MEDAcumulado),IF(AND(RegimeExecucao="Global",$I29&gt;0,COUNTIF($AB$13:$AM$13,BM.medicao)&gt;0),O29/$I29*100,0))</f>
        <v>0</v>
      </c>
      <c r="M29" s="379">
        <f ca="1">IF($A29="S",VTOTALBM,IF($A29=0,0,ROUND(SomaAgrupBM,15-13*ORÇAMENTO!$AF$11)))</f>
        <v>0</v>
      </c>
      <c r="N29" s="380">
        <f t="shared" ref="N29:N30" ca="1" si="24">O29-M29</f>
        <v>0</v>
      </c>
      <c r="O29" s="127">
        <f ca="1">IF($A29="S",VTOTALBM,IF($A29=0,0,ROUND(SomaAgrupBM,15-13*ORÇAMENTO!$AF$11)))</f>
        <v>0</v>
      </c>
      <c r="Q29" s="381"/>
      <c r="R29" s="382"/>
      <c r="T29" s="119" t="str">
        <f t="shared" ref="T29:T30" ca="1" si="25">IF($W29&gt;0,$D29,"")</f>
        <v/>
      </c>
      <c r="U29" s="171" t="str">
        <f t="shared" ref="U29:U30" ca="1" si="26">IF($W29&gt;0,$E29,"")</f>
        <v/>
      </c>
      <c r="V29" s="172" t="str">
        <f t="shared" ref="V29:V30" ca="1" si="27">IF(AND($W29&gt;0,RegimeExecucao="Unitário"),$F29,"")</f>
        <v/>
      </c>
      <c r="W29" s="547">
        <f ca="1">IF($Y29&gt;0,CHOOSE(MATCH(RegimeExecucao,{"Unitário","Global"},0),IF($A29="S",$Y29/$X29,""),($Y29/$X29)*100),0)</f>
        <v>0</v>
      </c>
      <c r="X29" s="383" t="str">
        <f ca="1">IF($Y29&gt;0,CHOOSE(MATCH(RegimeExecucao,{"Unitário","Global"},0),IF($A29="S",ROUND($H29,ORÇAMENTO!$AF$10),""),ROUND($I29,ORÇAMENTO!$AF$11)),"")</f>
        <v/>
      </c>
      <c r="Y29" s="383">
        <f t="shared" ref="Y29:Y30" ca="1" si="28">AO29-O29</f>
        <v>0</v>
      </c>
      <c r="Z29" s="384"/>
      <c r="AB29" s="381"/>
      <c r="AC29" s="516"/>
      <c r="AD29" s="516"/>
      <c r="AE29" s="516"/>
      <c r="AF29" s="516"/>
      <c r="AG29" s="516"/>
      <c r="AH29" s="516"/>
      <c r="AI29" s="516"/>
      <c r="AJ29" s="516"/>
      <c r="AK29" s="516"/>
      <c r="AL29" s="516"/>
      <c r="AM29" s="382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ht="25.5" x14ac:dyDescent="0.2">
      <c r="A30" t="str">
        <f ca="1">ORÇAMENTO!C30</f>
        <v>S</v>
      </c>
      <c r="B30">
        <f ca="1">ORÇAMENTO!D30</f>
        <v>0</v>
      </c>
      <c r="C30" s="116" t="str">
        <f t="shared" ca="1" si="18"/>
        <v/>
      </c>
      <c r="D30" s="119" t="str">
        <f ca="1">ORÇAMENTO!O30</f>
        <v>-</v>
      </c>
      <c r="E30" s="171" t="str">
        <f t="shared" ca="1" si="19"/>
        <v>(abra o arquivo 'Referência 04-2024.xls)</v>
      </c>
      <c r="F30" s="172" t="str">
        <f t="shared" ca="1" si="20"/>
        <v/>
      </c>
      <c r="G30" s="124" t="str">
        <f ca="1">IF(RegimeExecucao="Global","",ORÇAMENTO!T30)</f>
        <v/>
      </c>
      <c r="H30" s="124" t="str">
        <f ca="1">IF(RegimeExecucao="Global","",ORÇAMENTO!W30)</f>
        <v/>
      </c>
      <c r="I30" s="127">
        <f ca="1">ORÇAMENTO!X30</f>
        <v>0</v>
      </c>
      <c r="J30" s="377">
        <f t="shared" ca="1" si="21"/>
        <v>0</v>
      </c>
      <c r="K30" s="124">
        <f t="shared" ca="1" si="22"/>
        <v>0</v>
      </c>
      <c r="L30" s="378">
        <f t="shared" ca="1" si="23"/>
        <v>0</v>
      </c>
      <c r="M30" s="379">
        <f ca="1">IF($A30="S",VTOTALBM,IF($A30=0,0,ROUND(SomaAgrupBM,15-13*ORÇAMENTO!$AF$11)))</f>
        <v>0</v>
      </c>
      <c r="N30" s="380">
        <f t="shared" ca="1" si="24"/>
        <v>0</v>
      </c>
      <c r="O30" s="127">
        <f ca="1">IF($A30="S",VTOTALBM,IF($A30=0,0,ROUND(SomaAgrupBM,15-13*ORÇAMENTO!$AF$11)))</f>
        <v>0</v>
      </c>
      <c r="Q30" s="381"/>
      <c r="R30" s="382"/>
      <c r="T30" s="119" t="str">
        <f t="shared" ca="1" si="25"/>
        <v/>
      </c>
      <c r="U30" s="171" t="str">
        <f t="shared" ca="1" si="26"/>
        <v/>
      </c>
      <c r="V30" s="172" t="str">
        <f t="shared" ca="1" si="27"/>
        <v/>
      </c>
      <c r="W30" s="547">
        <f ca="1">IF($Y30&gt;0,CHOOSE(MATCH(RegimeExecucao,{"Unitário","Global"},0),IF($A30="S",$Y30/$X30,""),($Y30/$X30)*100),0)</f>
        <v>0</v>
      </c>
      <c r="X30" s="383" t="str">
        <f ca="1">IF($Y30&gt;0,CHOOSE(MATCH(RegimeExecucao,{"Unitário","Global"},0),IF($A30="S",ROUND($H30,ORÇAMENTO!$AF$10),""),ROUND($I30,ORÇAMENTO!$AF$11)),"")</f>
        <v/>
      </c>
      <c r="Y30" s="383">
        <f t="shared" ca="1" si="28"/>
        <v>0</v>
      </c>
      <c r="Z30" s="384"/>
      <c r="AB30" s="381"/>
      <c r="AC30" s="516"/>
      <c r="AD30" s="516"/>
      <c r="AE30" s="516"/>
      <c r="AF30" s="516"/>
      <c r="AG30" s="516"/>
      <c r="AH30" s="516"/>
      <c r="AI30" s="516"/>
      <c r="AJ30" s="516"/>
      <c r="AK30" s="516"/>
      <c r="AL30" s="516"/>
      <c r="AM30" s="382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s="575" customFormat="1" ht="25.5" x14ac:dyDescent="0.2">
      <c r="A31" s="575" t="str">
        <f ca="1">ORÇAMENTO!C31</f>
        <v>S</v>
      </c>
      <c r="B31" s="575">
        <f ca="1">ORÇAMENTO!D31</f>
        <v>0</v>
      </c>
      <c r="C31" s="116" t="str">
        <f ca="1">IF(OR($I31&gt;0,$A31=1,$A31=2,$A31=3,$A31=4),"F","")</f>
        <v/>
      </c>
      <c r="D31" s="119" t="str">
        <f ca="1">ORÇAMENTO!O31</f>
        <v>-</v>
      </c>
      <c r="E31" s="171" t="str">
        <f ca="1">ORÇAMENTO.Descricao</f>
        <v>(abra o arquivo 'Referência 04-2024.xls)</v>
      </c>
      <c r="F31" s="172" t="str">
        <f ca="1">IF(RegimeExecucao="Global","",ORÇAMENTO.Unidade)</f>
        <v/>
      </c>
      <c r="G31" s="124" t="str">
        <f ca="1">IF(RegimeExecucao="Global","",ORÇAMENTO!T31)</f>
        <v/>
      </c>
      <c r="H31" s="124" t="str">
        <f ca="1">IF(RegimeExecucao="Global","",ORÇAMENTO!W31)</f>
        <v/>
      </c>
      <c r="I31" s="127">
        <f ca="1">ORÇAMENTO!X31</f>
        <v>0</v>
      </c>
      <c r="J31" s="377">
        <f ca="1">IF($A31="S",IF(CAIXA.Modo,BM.AFAnterior,BM.MEDAnterior),IF(AND(RegimeExecucao="Global",$I31&gt;0,COUNTIF($AB$13:$AM$13,BM.medicao-1)&gt;0),M31/$I31*100,0))</f>
        <v>0</v>
      </c>
      <c r="K31" s="124">
        <f ca="1">L31-J31</f>
        <v>0</v>
      </c>
      <c r="L31" s="378">
        <f ca="1">IF($A31="S",IF(CAIXA.Modo,BM.AFAcumulado,BM.MEDAcumulado),IF(AND(RegimeExecucao="Global",$I31&gt;0,COUNTIF($AB$13:$AM$13,BM.medicao)&gt;0),O31/$I31*100,0))</f>
        <v>0</v>
      </c>
      <c r="M31" s="379">
        <f ca="1">IF($A31="S",VTOTALBM,IF($A31=0,0,ROUND(SomaAgrupBM,15-13*ORÇAMENTO!$AF$11)))</f>
        <v>0</v>
      </c>
      <c r="N31" s="380">
        <f ca="1">O31-M31</f>
        <v>0</v>
      </c>
      <c r="O31" s="127">
        <f ca="1">IF($A31="S",VTOTALBM,IF($A31=0,0,ROUND(SomaAgrupBM,15-13*ORÇAMENTO!$AF$11)))</f>
        <v>0</v>
      </c>
      <c r="Q31" s="381"/>
      <c r="R31" s="382"/>
      <c r="T31" s="119" t="str">
        <f ca="1">IF($W31&gt;0,$D31,"")</f>
        <v/>
      </c>
      <c r="U31" s="171" t="str">
        <f ca="1">IF($W31&gt;0,$E31,"")</f>
        <v/>
      </c>
      <c r="V31" s="172" t="str">
        <f ca="1">IF(AND($W31&gt;0,RegimeExecucao="Unitário"),$F31,"")</f>
        <v/>
      </c>
      <c r="W31" s="547">
        <f ca="1">IF($Y31&gt;0,CHOOSE(MATCH(RegimeExecucao,{"Unitário","Global"},0),IF($A31="S",$Y31/$X31,""),($Y31/$X31)*100),0)</f>
        <v>0</v>
      </c>
      <c r="X31" s="383" t="str">
        <f ca="1">IF($Y31&gt;0,CHOOSE(MATCH(RegimeExecucao,{"Unitário","Global"},0),IF($A31="S",ROUND($H31,ORÇAMENTO!$AF$10),""),ROUND($I31,ORÇAMENTO!$AF$11)),"")</f>
        <v/>
      </c>
      <c r="Y31" s="383">
        <f ca="1">AO31-O31</f>
        <v>0</v>
      </c>
      <c r="Z31" s="384"/>
      <c r="AB31" s="381"/>
      <c r="AC31" s="516"/>
      <c r="AD31" s="516"/>
      <c r="AE31" s="516"/>
      <c r="AF31" s="516"/>
      <c r="AG31" s="516"/>
      <c r="AH31" s="516"/>
      <c r="AI31" s="516"/>
      <c r="AJ31" s="516"/>
      <c r="AK31" s="516"/>
      <c r="AL31" s="516"/>
      <c r="AM31" s="382"/>
      <c r="AO31" s="575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ht="5.0999999999999996" customHeight="1" x14ac:dyDescent="0.2">
      <c r="C32" s="116" t="s">
        <v>248</v>
      </c>
      <c r="D32" s="484"/>
      <c r="E32" s="485"/>
      <c r="F32" s="485"/>
      <c r="G32" s="485"/>
      <c r="H32" s="485"/>
      <c r="I32" s="486"/>
      <c r="J32" s="484"/>
      <c r="K32" s="485"/>
      <c r="L32" s="486"/>
      <c r="M32" s="513"/>
      <c r="N32" s="514"/>
      <c r="O32" s="515"/>
      <c r="Q32" s="484"/>
      <c r="R32" s="486"/>
      <c r="T32" s="484"/>
      <c r="U32" s="485"/>
      <c r="V32" s="485"/>
      <c r="W32" s="485"/>
      <c r="X32" s="485"/>
      <c r="Y32" s="485"/>
      <c r="Z32" s="486"/>
      <c r="AB32" s="484"/>
      <c r="AC32" s="485"/>
      <c r="AD32" s="485"/>
      <c r="AE32" s="485"/>
      <c r="AF32" s="485"/>
      <c r="AG32" s="485"/>
      <c r="AH32" s="485"/>
      <c r="AI32" s="485"/>
      <c r="AJ32" s="485"/>
      <c r="AK32" s="485"/>
      <c r="AL32" s="485"/>
      <c r="AM32" s="486"/>
    </row>
    <row r="34" spans="4:26" ht="14.25" x14ac:dyDescent="0.2">
      <c r="D34" s="684" t="s">
        <v>189</v>
      </c>
      <c r="E34" s="684"/>
      <c r="F34" s="684"/>
      <c r="G34" s="684"/>
      <c r="H34" s="684"/>
      <c r="I34" s="684"/>
      <c r="J34" s="684"/>
      <c r="K34" s="684"/>
      <c r="L34" s="684"/>
      <c r="M34" s="684"/>
      <c r="N34" s="684"/>
      <c r="O34" s="684"/>
      <c r="T34" s="685" t="s">
        <v>355</v>
      </c>
      <c r="U34" s="685"/>
      <c r="V34" s="685"/>
      <c r="W34" s="685"/>
      <c r="X34" s="685"/>
      <c r="Y34" s="685"/>
      <c r="Z34" s="685"/>
    </row>
    <row r="35" spans="4:26" ht="12.75" customHeight="1" x14ac:dyDescent="0.2">
      <c r="D35" s="615"/>
      <c r="E35" s="615"/>
      <c r="F35" s="615"/>
      <c r="G35" s="615"/>
      <c r="H35" s="615"/>
      <c r="I35" s="615"/>
      <c r="J35" s="615"/>
      <c r="K35" s="615"/>
      <c r="L35" s="615"/>
      <c r="M35" s="615"/>
      <c r="N35" s="615"/>
      <c r="O35" s="615"/>
      <c r="T35" s="686"/>
      <c r="U35" s="686"/>
      <c r="V35" s="686"/>
      <c r="W35" s="686"/>
      <c r="X35" s="686"/>
      <c r="Y35" s="686"/>
      <c r="Z35" s="686"/>
    </row>
    <row r="36" spans="4:26" ht="12.75" customHeight="1" x14ac:dyDescent="0.2">
      <c r="D36" s="615"/>
      <c r="E36" s="615"/>
      <c r="F36" s="615"/>
      <c r="G36" s="615"/>
      <c r="H36" s="615"/>
      <c r="I36" s="615"/>
      <c r="J36" s="615"/>
      <c r="K36" s="615"/>
      <c r="L36" s="615"/>
      <c r="M36" s="615"/>
      <c r="N36" s="615"/>
      <c r="O36" s="615"/>
      <c r="T36" s="686"/>
      <c r="U36" s="686"/>
      <c r="V36" s="686"/>
      <c r="W36" s="686"/>
      <c r="X36" s="686"/>
      <c r="Y36" s="686"/>
      <c r="Z36" s="686"/>
    </row>
    <row r="37" spans="4:26" ht="12.75" customHeight="1" x14ac:dyDescent="0.2">
      <c r="D37" s="615"/>
      <c r="E37" s="615"/>
      <c r="F37" s="615"/>
      <c r="G37" s="615"/>
      <c r="H37" s="615"/>
      <c r="I37" s="615"/>
      <c r="J37" s="615"/>
      <c r="K37" s="615"/>
      <c r="L37" s="615"/>
      <c r="M37" s="615"/>
      <c r="N37" s="615"/>
      <c r="O37" s="615"/>
      <c r="T37" s="686"/>
      <c r="U37" s="686"/>
      <c r="V37" s="686"/>
      <c r="W37" s="686"/>
      <c r="X37" s="686"/>
      <c r="Y37" s="686"/>
      <c r="Z37" s="686"/>
    </row>
    <row r="38" spans="4:26" ht="14.25" x14ac:dyDescent="0.2"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</row>
    <row r="39" spans="4:26" ht="15" customHeight="1" x14ac:dyDescent="0.25">
      <c r="D39" s="616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Preço total; Medição.</v>
      </c>
      <c r="E39" s="616"/>
      <c r="F39" s="616"/>
      <c r="G39" s="616"/>
      <c r="H39" s="616"/>
      <c r="I39" s="616"/>
      <c r="J39" s="616"/>
      <c r="K39" s="616"/>
      <c r="L39" s="616"/>
    </row>
    <row r="40" spans="4:26" x14ac:dyDescent="0.2">
      <c r="D40" s="682"/>
      <c r="E40" s="682"/>
      <c r="F40" s="682"/>
      <c r="G40" s="682"/>
      <c r="H40" s="682"/>
      <c r="I40" s="682"/>
    </row>
    <row r="41" spans="4:26" x14ac:dyDescent="0.2">
      <c r="D41" s="689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41" s="689"/>
      <c r="F41" s="689"/>
      <c r="G41" s="689"/>
      <c r="H41" s="689"/>
      <c r="I41" s="689"/>
      <c r="J41" s="689"/>
      <c r="K41" s="689"/>
      <c r="L41" s="689"/>
      <c r="M41" s="689"/>
      <c r="N41" s="689"/>
      <c r="O41" s="689"/>
    </row>
    <row r="42" spans="4:26" ht="39.950000000000003" customHeight="1" x14ac:dyDescent="0.2">
      <c r="E42" s="144" t="str">
        <f>Import.Município</f>
        <v>Caçapava do Sul/RS</v>
      </c>
      <c r="J42" s="690"/>
      <c r="K42" s="690"/>
      <c r="L42" s="690"/>
      <c r="M42" s="690"/>
      <c r="W42" s="690"/>
      <c r="X42" s="690"/>
      <c r="Y42" s="690"/>
      <c r="Z42" s="690"/>
    </row>
    <row r="43" spans="4:26" x14ac:dyDescent="0.2">
      <c r="E43" s="10" t="s">
        <v>190</v>
      </c>
      <c r="J43" s="194" t="s">
        <v>304</v>
      </c>
      <c r="W43" s="194" t="s">
        <v>356</v>
      </c>
    </row>
    <row r="44" spans="4:26" x14ac:dyDescent="0.2">
      <c r="J44" s="78" t="s">
        <v>109</v>
      </c>
      <c r="K44" s="311">
        <f t="array" ref="K44:K47">Import.RespFiscalização</f>
        <v>0</v>
      </c>
      <c r="L44" s="79"/>
      <c r="W44" s="78" t="s">
        <v>109</v>
      </c>
      <c r="X44" s="688"/>
      <c r="Y44" s="688"/>
      <c r="Z44" s="688"/>
    </row>
    <row r="45" spans="4:26" x14ac:dyDescent="0.2">
      <c r="E45" s="552">
        <f ca="1">DADOS!$F$47</f>
        <v>45545</v>
      </c>
      <c r="J45" s="78" t="s">
        <v>128</v>
      </c>
      <c r="K45" s="311">
        <v>0</v>
      </c>
      <c r="L45" s="79"/>
      <c r="W45" s="78" t="s">
        <v>357</v>
      </c>
      <c r="X45" s="688"/>
      <c r="Y45" s="688"/>
      <c r="Z45" s="688"/>
    </row>
    <row r="46" spans="4:26" x14ac:dyDescent="0.2">
      <c r="E46" s="146" t="s">
        <v>191</v>
      </c>
      <c r="J46" s="78" t="s">
        <v>110</v>
      </c>
      <c r="K46" s="311">
        <v>0</v>
      </c>
      <c r="L46" s="79"/>
      <c r="W46" s="78" t="s">
        <v>110</v>
      </c>
      <c r="X46" s="688"/>
      <c r="Y46" s="688"/>
      <c r="Z46" s="688"/>
    </row>
    <row r="47" spans="4:26" x14ac:dyDescent="0.2">
      <c r="J47" s="78" t="s">
        <v>111</v>
      </c>
      <c r="K47" s="13">
        <v>0</v>
      </c>
      <c r="W47" s="78"/>
      <c r="X47" s="13"/>
    </row>
  </sheetData>
  <sheetProtection password="BD1F" sheet="1" objects="1" scenarios="1" autoFilter="0"/>
  <autoFilter ref="C15:C32"/>
  <mergeCells count="35">
    <mergeCell ref="X46:Z46"/>
    <mergeCell ref="D41:O41"/>
    <mergeCell ref="J42:M42"/>
    <mergeCell ref="W42:Z42"/>
    <mergeCell ref="X44:Z44"/>
    <mergeCell ref="X45:Z45"/>
    <mergeCell ref="D39:L39"/>
    <mergeCell ref="D40:I40"/>
    <mergeCell ref="AB15:AM15"/>
    <mergeCell ref="D34:O34"/>
    <mergeCell ref="T34:Z34"/>
    <mergeCell ref="D35:O37"/>
    <mergeCell ref="T35:Z37"/>
    <mergeCell ref="D15:E15"/>
    <mergeCell ref="AB11:AM11"/>
    <mergeCell ref="J12:L12"/>
    <mergeCell ref="M12:O12"/>
    <mergeCell ref="Q12:R12"/>
    <mergeCell ref="F7:H7"/>
    <mergeCell ref="I7:L7"/>
    <mergeCell ref="M7:N7"/>
    <mergeCell ref="T11:U11"/>
    <mergeCell ref="C8:C12"/>
    <mergeCell ref="F8:H8"/>
    <mergeCell ref="I8:L8"/>
    <mergeCell ref="M8:N8"/>
    <mergeCell ref="E10:I11"/>
    <mergeCell ref="N10:O11"/>
    <mergeCell ref="D5:E5"/>
    <mergeCell ref="F5:H5"/>
    <mergeCell ref="J5:N5"/>
    <mergeCell ref="A3:B3"/>
    <mergeCell ref="D4:E4"/>
    <mergeCell ref="F4:H4"/>
    <mergeCell ref="J4:N4"/>
  </mergeCells>
  <phoneticPr fontId="38" type="noConversion"/>
  <conditionalFormatting sqref="D14:O14 T14:Z14 T23:Z23 D23:O23 D20:O20 T20:Z20 D26:O27 T26:Z27 D30:O30 T30:Z30">
    <cfRule type="expression" dxfId="54" priority="2778" stopIfTrue="1">
      <formula>OR(ACOMPANHAMENTO="PLE",TIPOORCAMENTO="Proposto",$L14&lt;0,AND($L14&gt;100,RegimeExecucao="Global"),$O14&gt;$I14,$O14&lt;0)</formula>
    </cfRule>
    <cfRule type="expression" dxfId="53" priority="2779" stopIfTrue="1">
      <formula>$A14=1</formula>
    </cfRule>
    <cfRule type="expression" dxfId="52" priority="2780" stopIfTrue="1">
      <formula>$A14&lt;&gt;"S"</formula>
    </cfRule>
  </conditionalFormatting>
  <conditionalFormatting sqref="Q14:R14 AB14:AM14 AB23:AM23 Q23:R23 Q20:R20 AB20:AM20 Q26:R27 AB26:AM27 Q30:R30 AB30:AM30">
    <cfRule type="expression" dxfId="51" priority="2781" stopIfTrue="1">
      <formula>$A14=1</formula>
    </cfRule>
    <cfRule type="expression" dxfId="50" priority="2782" stopIfTrue="1">
      <formula>$A14&lt;&gt;"S"</formula>
    </cfRule>
  </conditionalFormatting>
  <conditionalFormatting sqref="E2">
    <cfRule type="expression" dxfId="49" priority="2783" stopIfTrue="1">
      <formula>Import.RegimeExecução="(SELECIONAR)"</formula>
    </cfRule>
  </conditionalFormatting>
  <conditionalFormatting sqref="F13:H13">
    <cfRule type="expression" dxfId="48" priority="2784" stopIfTrue="1">
      <formula>RegimeExecucao="Global"</formula>
    </cfRule>
  </conditionalFormatting>
  <conditionalFormatting sqref="D15:O15">
    <cfRule type="expression" dxfId="47" priority="2785" stopIfTrue="1">
      <formula>OR(ACOMPANHAMENTO="PLE",TIPOORCAMENTO="Proposto")</formula>
    </cfRule>
  </conditionalFormatting>
  <conditionalFormatting sqref="D16:O16 T16:Z16 T19:Z19 D19:O19">
    <cfRule type="expression" dxfId="46" priority="636" stopIfTrue="1">
      <formula>OR(ACOMPANHAMENTO="PLE",TIPOORCAMENTO="Proposto",$L16&lt;0,AND($L16&gt;100,RegimeExecucao="Global"),$O16&gt;$I16,$O16&lt;0)</formula>
    </cfRule>
    <cfRule type="expression" dxfId="45" priority="637" stopIfTrue="1">
      <formula>$A16=1</formula>
    </cfRule>
    <cfRule type="expression" dxfId="44" priority="638" stopIfTrue="1">
      <formula>$A16&lt;&gt;"S"</formula>
    </cfRule>
  </conditionalFormatting>
  <conditionalFormatting sqref="Q16:R16 AB16:AM16 AB19:AM19 Q19:R19">
    <cfRule type="expression" dxfId="43" priority="639" stopIfTrue="1">
      <formula>$A16=1</formula>
    </cfRule>
    <cfRule type="expression" dxfId="42" priority="640" stopIfTrue="1">
      <formula>$A16&lt;&gt;"S"</formula>
    </cfRule>
  </conditionalFormatting>
  <conditionalFormatting sqref="D29:O29 T29:Z29">
    <cfRule type="expression" dxfId="41" priority="356" stopIfTrue="1">
      <formula>OR(ACOMPANHAMENTO="PLE",TIPOORCAMENTO="Proposto",$L29&lt;0,AND($L29&gt;100,RegimeExecucao="Global"),$O29&gt;$I29,$O29&lt;0)</formula>
    </cfRule>
    <cfRule type="expression" dxfId="40" priority="357" stopIfTrue="1">
      <formula>$A29=1</formula>
    </cfRule>
    <cfRule type="expression" dxfId="39" priority="358" stopIfTrue="1">
      <formula>$A29&lt;&gt;"S"</formula>
    </cfRule>
  </conditionalFormatting>
  <conditionalFormatting sqref="Q29:R29 AB29:AM29">
    <cfRule type="expression" dxfId="38" priority="359" stopIfTrue="1">
      <formula>$A29=1</formula>
    </cfRule>
    <cfRule type="expression" dxfId="37" priority="360" stopIfTrue="1">
      <formula>$A29&lt;&gt;"S"</formula>
    </cfRule>
  </conditionalFormatting>
  <conditionalFormatting sqref="D25:O25 T25:Z25">
    <cfRule type="expression" dxfId="36" priority="261" stopIfTrue="1">
      <formula>OR(ACOMPANHAMENTO="PLE",TIPOORCAMENTO="Proposto",$L25&lt;0,AND($L25&gt;100,RegimeExecucao="Global"),$O25&gt;$I25,$O25&lt;0)</formula>
    </cfRule>
    <cfRule type="expression" dxfId="35" priority="262" stopIfTrue="1">
      <formula>$A25=1</formula>
    </cfRule>
    <cfRule type="expression" dxfId="34" priority="263" stopIfTrue="1">
      <formula>$A25&lt;&gt;"S"</formula>
    </cfRule>
  </conditionalFormatting>
  <conditionalFormatting sqref="Q25:R25 AB25:AM25">
    <cfRule type="expression" dxfId="33" priority="264" stopIfTrue="1">
      <formula>$A25=1</formula>
    </cfRule>
    <cfRule type="expression" dxfId="32" priority="265" stopIfTrue="1">
      <formula>$A25&lt;&gt;"S"</formula>
    </cfRule>
  </conditionalFormatting>
  <conditionalFormatting sqref="D24:O24 T24:Z24">
    <cfRule type="expression" dxfId="31" priority="176" stopIfTrue="1">
      <formula>OR(ACOMPANHAMENTO="PLE",TIPOORCAMENTO="Proposto",$L24&lt;0,AND($L24&gt;100,RegimeExecucao="Global"),$O24&gt;$I24,$O24&lt;0)</formula>
    </cfRule>
    <cfRule type="expression" dxfId="30" priority="177" stopIfTrue="1">
      <formula>$A24=1</formula>
    </cfRule>
    <cfRule type="expression" dxfId="29" priority="178" stopIfTrue="1">
      <formula>$A24&lt;&gt;"S"</formula>
    </cfRule>
  </conditionalFormatting>
  <conditionalFormatting sqref="Q24:R24 AB24:AM24">
    <cfRule type="expression" dxfId="28" priority="179" stopIfTrue="1">
      <formula>$A24=1</formula>
    </cfRule>
    <cfRule type="expression" dxfId="27" priority="180" stopIfTrue="1">
      <formula>$A24&lt;&gt;"S"</formula>
    </cfRule>
  </conditionalFormatting>
  <conditionalFormatting sqref="D17:O18 T17:Z18">
    <cfRule type="expression" dxfId="26" priority="136" stopIfTrue="1">
      <formula>OR(ACOMPANHAMENTO="PLE",TIPOORCAMENTO="Proposto",$L17&lt;0,AND($L17&gt;100,RegimeExecucao="Global"),$O17&gt;$I17,$O17&lt;0)</formula>
    </cfRule>
    <cfRule type="expression" dxfId="25" priority="137" stopIfTrue="1">
      <formula>$A17=1</formula>
    </cfRule>
    <cfRule type="expression" dxfId="24" priority="138" stopIfTrue="1">
      <formula>$A17&lt;&gt;"S"</formula>
    </cfRule>
  </conditionalFormatting>
  <conditionalFormatting sqref="Q17:R18 AB17:AM18">
    <cfRule type="expression" dxfId="23" priority="139" stopIfTrue="1">
      <formula>$A17=1</formula>
    </cfRule>
    <cfRule type="expression" dxfId="22" priority="140" stopIfTrue="1">
      <formula>$A17&lt;&gt;"S"</formula>
    </cfRule>
  </conditionalFormatting>
  <conditionalFormatting sqref="D21:O22 T21:Z22">
    <cfRule type="expression" dxfId="21" priority="121" stopIfTrue="1">
      <formula>OR(ACOMPANHAMENTO="PLE",TIPOORCAMENTO="Proposto",$L21&lt;0,AND($L21&gt;100,RegimeExecucao="Global"),$O21&gt;$I21,$O21&lt;0)</formula>
    </cfRule>
    <cfRule type="expression" dxfId="20" priority="122" stopIfTrue="1">
      <formula>$A21=1</formula>
    </cfRule>
    <cfRule type="expression" dxfId="19" priority="123" stopIfTrue="1">
      <formula>$A21&lt;&gt;"S"</formula>
    </cfRule>
  </conditionalFormatting>
  <conditionalFormatting sqref="Q21:R22 AB21:AM22">
    <cfRule type="expression" dxfId="18" priority="124" stopIfTrue="1">
      <formula>$A21=1</formula>
    </cfRule>
    <cfRule type="expression" dxfId="17" priority="125" stopIfTrue="1">
      <formula>$A21&lt;&gt;"S"</formula>
    </cfRule>
  </conditionalFormatting>
  <conditionalFormatting sqref="D31:O31 T31:Z31">
    <cfRule type="expression" dxfId="16" priority="16" stopIfTrue="1">
      <formula>OR(ACOMPANHAMENTO="PLE",TIPOORCAMENTO="Proposto",$L31&lt;0,AND($L31&gt;100,RegimeExecucao="Global"),$O31&gt;$I31,$O31&lt;0)</formula>
    </cfRule>
    <cfRule type="expression" dxfId="15" priority="17" stopIfTrue="1">
      <formula>$A31=1</formula>
    </cfRule>
    <cfRule type="expression" dxfId="14" priority="18" stopIfTrue="1">
      <formula>$A31&lt;&gt;"S"</formula>
    </cfRule>
  </conditionalFormatting>
  <conditionalFormatting sqref="Q31:R31 AB31:AM31">
    <cfRule type="expression" dxfId="13" priority="19" stopIfTrue="1">
      <formula>$A31=1</formula>
    </cfRule>
    <cfRule type="expression" dxfId="12" priority="20" stopIfTrue="1">
      <formula>$A31&lt;&gt;"S"</formula>
    </cfRule>
  </conditionalFormatting>
  <conditionalFormatting sqref="D28:O28 T28:Z28">
    <cfRule type="expression" dxfId="11" priority="1" stopIfTrue="1">
      <formula>OR(ACOMPANHAMENTO="PLE",TIPOORCAMENTO="Proposto",$L28&lt;0,AND($L28&gt;100,RegimeExecucao="Global"),$O28&gt;$I28,$O28&lt;0)</formula>
    </cfRule>
    <cfRule type="expression" dxfId="10" priority="2" stopIfTrue="1">
      <formula>$A28=1</formula>
    </cfRule>
    <cfRule type="expression" dxfId="9" priority="3" stopIfTrue="1">
      <formula>$A28&lt;&gt;"S"</formula>
    </cfRule>
  </conditionalFormatting>
  <conditionalFormatting sqref="Q28:R28 AB28:AM28">
    <cfRule type="expression" dxfId="8" priority="4" stopIfTrue="1">
      <formula>$A28=1</formula>
    </cfRule>
    <cfRule type="expression" dxfId="7" priority="5" stopIfTrue="1">
      <formula>$A28&lt;&gt;"S"</formula>
    </cfRule>
  </conditionalFormatting>
  <dataValidations count="4">
    <dataValidation type="list" allowBlank="1" showErrorMessage="1" sqref="Z14 Z16:Z31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31">
      <formula1>0</formula1>
      <formula2>BM.MEDAcumulado</formula2>
    </dataValidation>
    <dataValidation type="whole" operator="greaterThan" allowBlank="1" showInputMessage="1" showErrorMessage="1" sqref="O8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31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514350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pageSetUpPr fitToPage="1"/>
  </sheetPr>
  <dimension ref="A1:AO40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 activeCell="M33" sqref="M33:O33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391" t="str">
        <f>CONCATENATE("RRE - RELATÓRIO RESUMO DO EMPREENDIMENTO - ",IF(CAIXA.Modo,"CAIXA","TOMADOR"))</f>
        <v>RRE - RELATÓRIO RESUMO DO EMPREENDIMENTO - TOMADOR</v>
      </c>
      <c r="H1" s="8"/>
      <c r="I1" s="8"/>
      <c r="AD1" s="392" t="s">
        <v>358</v>
      </c>
      <c r="AE1" s="393" t="s">
        <v>359</v>
      </c>
    </row>
    <row r="2" spans="1:41" x14ac:dyDescent="0.2">
      <c r="AC2" s="394" t="str">
        <f>J16</f>
        <v>Repasse</v>
      </c>
      <c r="AD2" s="395" t="e">
        <f ca="1">AD6-AD4-AD3</f>
        <v>#DIV/0!</v>
      </c>
      <c r="AE2" s="395" t="e">
        <f ca="1">AE6-AE4-AE3</f>
        <v>#DIV/0!</v>
      </c>
    </row>
    <row r="3" spans="1:41" x14ac:dyDescent="0.2">
      <c r="E3" s="622" t="s">
        <v>149</v>
      </c>
      <c r="F3" s="622"/>
      <c r="G3" s="622"/>
      <c r="H3" s="622"/>
      <c r="I3" s="585" t="s">
        <v>147</v>
      </c>
      <c r="J3" s="585"/>
      <c r="K3" s="585"/>
      <c r="L3" s="89" t="s">
        <v>148</v>
      </c>
      <c r="M3" s="152"/>
      <c r="O3" s="396"/>
      <c r="P3" s="314" t="s">
        <v>212</v>
      </c>
      <c r="R3" s="152"/>
      <c r="S3" s="152"/>
      <c r="T3" s="152"/>
      <c r="U3" s="152"/>
      <c r="AC3" s="394" t="s">
        <v>171</v>
      </c>
      <c r="AD3" s="395" t="e">
        <f ca="1">SUM(T13:OFFSET(T15,-1,0))</f>
        <v>#DIV/0!</v>
      </c>
      <c r="AE3" s="395" t="e">
        <f ca="1">IF(OR($O$19&lt;$M$19,$M$17&gt;$AD$3),MIN($M$17,$L$17),MIN($AD$3,$N$19-$N$18+$M$17))</f>
        <v>#DIV/0!</v>
      </c>
    </row>
    <row r="4" spans="1:41" ht="12.75" customHeight="1" x14ac:dyDescent="0.2">
      <c r="E4" s="620" t="str">
        <f>Import.Proponente</f>
        <v>Prefeitura Municipal de Caçapava do Sul</v>
      </c>
      <c r="F4" s="620"/>
      <c r="G4" s="620"/>
      <c r="H4" s="620"/>
      <c r="I4" s="582">
        <f>Import.CR</f>
        <v>0</v>
      </c>
      <c r="J4" s="582"/>
      <c r="K4" s="582"/>
      <c r="L4" s="57">
        <f>Import.SICONV</f>
        <v>0</v>
      </c>
      <c r="M4" s="703" t="s">
        <v>309</v>
      </c>
      <c r="N4" s="704"/>
      <c r="O4" s="705"/>
      <c r="P4" s="397" t="str">
        <f>import.recurso</f>
        <v>OGU</v>
      </c>
      <c r="R4" s="152"/>
      <c r="S4" s="152"/>
      <c r="T4" s="396"/>
      <c r="U4" s="396"/>
      <c r="AC4" s="394" t="s">
        <v>360</v>
      </c>
      <c r="AD4" s="395" t="e">
        <f ca="1">SUM(U13:OFFSET(U15,-1,0))</f>
        <v>#DIV/0!</v>
      </c>
      <c r="AE4" s="395" t="e">
        <f ca="1">IF(OR($O$19&lt;$M$19,$M$18&gt;$AD$4),MIN($M$18,$L$18),MIN($AD$4,$N$19+$M$18))</f>
        <v>#DIV/0!</v>
      </c>
    </row>
    <row r="5" spans="1:41" ht="5.0999999999999996" customHeight="1" x14ac:dyDescent="0.2">
      <c r="H5" s="317"/>
      <c r="I5" s="317"/>
      <c r="J5" s="317"/>
      <c r="K5" s="317"/>
      <c r="L5" s="317"/>
      <c r="M5" s="398"/>
      <c r="N5" s="305"/>
      <c r="O5" s="4"/>
      <c r="R5" s="152"/>
      <c r="S5" s="152"/>
      <c r="T5" s="152"/>
      <c r="U5" s="152"/>
    </row>
    <row r="6" spans="1:41" ht="12.75" customHeight="1" x14ac:dyDescent="0.2">
      <c r="E6" s="585" t="s">
        <v>204</v>
      </c>
      <c r="F6" s="585"/>
      <c r="G6" s="585"/>
      <c r="H6" s="585"/>
      <c r="I6" s="691" t="s">
        <v>308</v>
      </c>
      <c r="J6" s="691"/>
      <c r="K6" s="691"/>
      <c r="L6" s="691"/>
      <c r="M6" s="56" t="str">
        <f>IF(import.recurso="FGTS","FINANCIAMENTO","REPASSE")</f>
        <v>REPASSE</v>
      </c>
      <c r="N6" s="98" t="s">
        <v>310</v>
      </c>
      <c r="O6" s="56" t="s">
        <v>311</v>
      </c>
      <c r="P6" s="153" t="s">
        <v>361</v>
      </c>
      <c r="R6" s="152"/>
      <c r="S6" s="152"/>
      <c r="T6" s="152"/>
      <c r="U6" s="152"/>
      <c r="AC6" s="394" t="s">
        <v>362</v>
      </c>
      <c r="AD6" s="395" t="e">
        <f ca="1">$O$19</f>
        <v>#DIV/0!</v>
      </c>
      <c r="AE6" s="395" t="e">
        <f ca="1">AD6</f>
        <v>#DIV/0!</v>
      </c>
    </row>
    <row r="7" spans="1:41" ht="12.75" customHeight="1" x14ac:dyDescent="0.2">
      <c r="D7" s="611" t="s">
        <v>211</v>
      </c>
      <c r="E7" s="582" t="str">
        <f>Import.Apelido</f>
        <v>Calçamento da Rua Tomé Medeiros</v>
      </c>
      <c r="F7" s="582"/>
      <c r="G7" s="582"/>
      <c r="H7" s="582"/>
      <c r="I7" s="692" t="str">
        <f>Import.Município</f>
        <v>Caçapava do Sul/RS</v>
      </c>
      <c r="J7" s="692"/>
      <c r="K7" s="692"/>
      <c r="L7" s="692"/>
      <c r="M7" s="399">
        <f>Import.Repasse</f>
        <v>0</v>
      </c>
      <c r="N7" s="400">
        <f>Import.Contrapartida</f>
        <v>0</v>
      </c>
      <c r="O7" s="399">
        <f>M7+N7</f>
        <v>0</v>
      </c>
      <c r="P7" s="491">
        <f>IF(ACOMPANHAMENTO="PLE",PLE.Medicao,BM.medicao)</f>
        <v>1</v>
      </c>
      <c r="R7" s="152"/>
      <c r="S7" s="152"/>
      <c r="T7" s="152"/>
      <c r="U7" s="152"/>
    </row>
    <row r="8" spans="1:41" x14ac:dyDescent="0.2">
      <c r="D8" s="611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R8" s="152"/>
      <c r="S8" s="152"/>
      <c r="T8" s="152"/>
      <c r="U8" s="152"/>
    </row>
    <row r="9" spans="1:41" ht="12.75" customHeight="1" x14ac:dyDescent="0.2">
      <c r="D9" s="611"/>
      <c r="G9" s="693" t="s">
        <v>363</v>
      </c>
      <c r="H9" s="693"/>
      <c r="I9" s="693" t="s">
        <v>364</v>
      </c>
      <c r="J9" s="693"/>
      <c r="K9" s="401"/>
      <c r="L9" s="694" t="s">
        <v>315</v>
      </c>
      <c r="M9" s="402" t="s">
        <v>318</v>
      </c>
      <c r="N9" s="318" t="s">
        <v>240</v>
      </c>
      <c r="P9" s="403"/>
      <c r="R9" s="152"/>
      <c r="S9" s="152"/>
      <c r="T9" s="152"/>
      <c r="U9" s="152"/>
      <c r="V9" s="7" t="s">
        <v>365</v>
      </c>
    </row>
    <row r="10" spans="1:41" ht="12.75" customHeight="1" x14ac:dyDescent="0.2">
      <c r="D10" s="611"/>
      <c r="G10" s="584" t="e">
        <f ca="1">IF(J10="-","-",IF($P$15&lt;J10,"Atrasada",IF($P$15&gt;J10,"Adiantada","Normal")))</f>
        <v>#DIV/0!</v>
      </c>
      <c r="H10" s="584"/>
      <c r="I10" s="404">
        <f ca="1">DATE(YEAR($L$26),MONTH($L$26),1)</f>
        <v>45536</v>
      </c>
      <c r="J10" s="405" t="e">
        <f ca="1">IF($I$10&lt;DATE(YEAR(CRONO!$T$13),MONTH(CRONO!$T$13),1),0,IF($I$10&gt;CRONO!$AE$13,1,INDEX(CRONO!$S$38:$AG$38,MATCH(RRE!$I$10,CRONO!$S$13:$AG$13,0))))</f>
        <v>#DIV/0!</v>
      </c>
      <c r="K10" s="401"/>
      <c r="L10" s="694"/>
      <c r="M10" s="406">
        <f ca="1">QCI!L10</f>
        <v>0</v>
      </c>
      <c r="N10" s="320">
        <f ca="1">QCI!M10</f>
        <v>0</v>
      </c>
      <c r="P10" s="403"/>
      <c r="R10" s="152"/>
      <c r="S10" s="152"/>
      <c r="T10" s="152"/>
      <c r="U10" s="152"/>
      <c r="AC10" s="695" t="s">
        <v>366</v>
      </c>
      <c r="AD10" s="695"/>
      <c r="AE10" s="695"/>
      <c r="AF10" s="695"/>
      <c r="AG10" s="695"/>
      <c r="AH10" s="695"/>
      <c r="AJ10" s="695" t="s">
        <v>4</v>
      </c>
      <c r="AK10" s="695"/>
      <c r="AL10" s="695"/>
      <c r="AM10" s="695"/>
      <c r="AN10" s="695"/>
      <c r="AO10" s="695"/>
    </row>
    <row r="11" spans="1:41" ht="20.100000000000001" customHeight="1" x14ac:dyDescent="0.2">
      <c r="D11" s="611"/>
      <c r="M11" s="542" t="str">
        <f>IF(CAIXA.Modo,"Valores Aferidos (R$)","Valores Medidos (R$)")</f>
        <v>Valores Medidos (R$)</v>
      </c>
      <c r="N11" s="542"/>
      <c r="O11" s="542"/>
      <c r="R11" s="407"/>
      <c r="S11" s="407"/>
      <c r="T11" s="542"/>
      <c r="U11" s="542"/>
      <c r="V11" s="539" t="s">
        <v>412</v>
      </c>
      <c r="Y11" s="696" t="str">
        <f>IF(CAIXA.Modo,"Valores Aferidos (R$)","Valores Medidos (R$)")</f>
        <v>Valores Medidos (R$)</v>
      </c>
      <c r="Z11" s="696"/>
      <c r="AC11" s="697" t="s">
        <v>367</v>
      </c>
      <c r="AD11" s="697"/>
      <c r="AE11" s="697"/>
      <c r="AF11" s="697" t="s">
        <v>368</v>
      </c>
      <c r="AG11" s="697"/>
      <c r="AH11" s="697"/>
      <c r="AJ11" s="697" t="s">
        <v>367</v>
      </c>
      <c r="AK11" s="697"/>
      <c r="AL11" s="697"/>
      <c r="AM11" s="697" t="s">
        <v>368</v>
      </c>
      <c r="AN11" s="697"/>
      <c r="AO11" s="697"/>
    </row>
    <row r="12" spans="1:41" hidden="1" x14ac:dyDescent="0.2">
      <c r="A12" t="e">
        <f ca="1">MATCH(E12,ORÇAMENTO!$E$15:$E$32,0)-1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321">
        <f>QCI!D12</f>
        <v>-1</v>
      </c>
      <c r="F12" s="408" t="str">
        <f ca="1">QCI!G12</f>
        <v/>
      </c>
      <c r="G12" s="409">
        <f>QCI!H12</f>
        <v>0</v>
      </c>
      <c r="H12" s="286">
        <f>QCI!I12</f>
        <v>0</v>
      </c>
      <c r="I12" s="322" t="str">
        <f ca="1">QCI!J12</f>
        <v/>
      </c>
      <c r="J12" s="410" t="str">
        <f ca="1">QCI!K12</f>
        <v/>
      </c>
      <c r="K12" s="411" t="str">
        <f ca="1">IF($C12="Automático",IF(ACOMPANHAMENTO="BM",BM.medicao,PLE.Medicao),IF(ISBLANK($X12),"",$X12))</f>
        <v/>
      </c>
      <c r="L12" s="326">
        <f ca="1">QCI!$O12</f>
        <v>0</v>
      </c>
      <c r="M12" s="323">
        <f ca="1">ROUND(IF(C12="Automático",AE12+AL12,Y12),2)</f>
        <v>0</v>
      </c>
      <c r="N12" s="324">
        <f ca="1">O12-M12</f>
        <v>0</v>
      </c>
      <c r="O12" s="325">
        <f ca="1">ROUND(IF(C12="Automático",AH12+AO12,Z12),2)</f>
        <v>0</v>
      </c>
      <c r="P12" s="413">
        <f ca="1">O12/(L12+10^-12)</f>
        <v>0</v>
      </c>
      <c r="R12" s="412">
        <f ca="1">ROUND(IF($C12="Automático",AC12+AJ12,$Y12*IF(ISERROR(QCI!$AA12/QCI!$O12),0,QCI!$AA12/QCI!$O12)),2)</f>
        <v>0</v>
      </c>
      <c r="S12" s="412">
        <f ca="1">ROUND(IF($C12="Automático",AD12+AK12,$Y12*IF(ISERROR(QCI!$AB12/QCI!$O12),0,QCI!$AB12/QCI!$O12)),2)</f>
        <v>0</v>
      </c>
      <c r="T12" s="412">
        <f ca="1">ROUND(IF($C12="Automático",AF12+AM12,$Z12*IF(ISERROR(QCI!$AA12/QCI!$O12),0,QCI!$AA12/QCI!$O12)),2)</f>
        <v>0</v>
      </c>
      <c r="U12" s="412">
        <f ca="1">ROUND(IF($C12="Automático",AG12+AN12,$Z12*IF(ISERROR(QCI!$AB12/QCI!$O12),0,QCI!$AB12/QCI!$O12)),2)</f>
        <v>0</v>
      </c>
      <c r="V12" s="540" t="str">
        <f ca="1">IF(AND($L12&gt;0,$J12&lt;&gt;0,$J12&lt;&gt;"",COUNTIF($J12:$J$13,$J12)=1),OFFSET(V12,-1,0)+1,OFFSET(V12,-1,0))</f>
        <v>Lista CTEFs</v>
      </c>
      <c r="X12" s="327"/>
      <c r="Y12" s="328"/>
      <c r="Z12" s="330"/>
      <c r="AC12" s="198" t="e">
        <f ca="1">IF(ACOMPANHAMENTO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#N/A</v>
      </c>
      <c r="AD12" s="198" t="e">
        <f ca="1">IF(ACOMPANHAMENTO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#N/A</v>
      </c>
      <c r="AE12" s="198" t="e">
        <f ca="1">ROUND(IF(ACOMPANHAMENTO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#N/A</v>
      </c>
      <c r="AF12" s="198" t="e">
        <f ca="1">IF(ACOMPANHAMENTO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#N/A</v>
      </c>
      <c r="AG12" s="198" t="e">
        <f ca="1">IF(ACOMPANHAMENTO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#N/A</v>
      </c>
      <c r="AH12" s="198" t="e">
        <f ca="1">ROUND(IF(ACOMPANHAMENTO&lt;&gt;"PLE",0,SUMIF(OFFSET(CÁLCULO!$AX$15:$BH$15,$A12,0,$B12),"&lt;="&amp;PLE.Medicao,OFFSET(CÁLCULO!$AB$15:$AL$15,$A12,0,$B12))+IF(AUTOEVENTO="Manual",SUMIF(OFFSET(CÁLCULO!$M$15,$A12,0,$B12),1,OFFSET(ORÇAMENTO!$X$15,$A12,0,$B12))*PLE!$AE$9,0)),2)</f>
        <v>#N/A</v>
      </c>
      <c r="AJ12" s="198">
        <f ca="1">IF(ACOMPANHAMENTO&lt;&gt;"BM",0,SUMPRODUCT(OFFSET(BM!$M$15,$A12,0,$B12)*(OFFSET(BM!$A$15,$A12,0,$B12)="S")*OFFSET(ORÇAMENTO!AA$15,$A12,0,$B12)/(OFFSET(ORÇAMENTO!$X$15,$A12,0,$B12)+10^-12)))</f>
        <v>0</v>
      </c>
      <c r="AK12" s="198">
        <f ca="1">IF(ACOMPANHAMENTO&lt;&gt;"BM",0,SUMPRODUCT(OFFSET(BM!$M$15,$A12,0,$B12)*(OFFSET(BM!$A$15,$A12,0,$B12)="S")*OFFSET(ORÇAMENTO!AB$15,$A12,0,$B12)/(OFFSET(ORÇAMENTO!$X$15,$A12,0,$B12)+10^-12)))</f>
        <v>0</v>
      </c>
      <c r="AL12" s="198">
        <f ca="1">IF(ACOMPANHAMENTO&lt;&gt;"BM",0,OFFSET(BM!$M$15,$A12,0))</f>
        <v>0</v>
      </c>
      <c r="AM12" s="198">
        <f ca="1">IF(ACOMPANHAMENTO&lt;&gt;"BM",0,SUMPRODUCT(OFFSET(BM!$O$15,$A12,0,$B12)*(OFFSET(BM!$A$15,$A12,0,$B12)="S")*OFFSET(ORÇAMENTO!AA$15,$A12,0,$B12)/(OFFSET(ORÇAMENTO!$X$15,$A12,0,$B12)+10^-12)))</f>
        <v>0</v>
      </c>
      <c r="AN12" s="198">
        <f ca="1">IF(ACOMPANHAMENTO&lt;&gt;"BM",0,SUMPRODUCT(OFFSET(BM!$O$15,$A12,0,$B12)*(OFFSET(BM!$A$15,$A12,0,$B12)="S")*OFFSET(ORÇAMENTO!AB$15,$A12,0,$B12)/(OFFSET(ORÇAMENTO!$X$15,$A12,0,$B12)+10^-12)))</f>
        <v>0</v>
      </c>
      <c r="AO12" s="198">
        <f ca="1">IF(ACOMPANHAMENTO&lt;&gt;"BM",0,OFFSET(BM!$O$15,$A12,0))</f>
        <v>0</v>
      </c>
    </row>
    <row r="13" spans="1:41" ht="39.950000000000003" customHeight="1" x14ac:dyDescent="0.2">
      <c r="A13" s="332" t="s">
        <v>369</v>
      </c>
      <c r="B13" s="10" t="s">
        <v>223</v>
      </c>
      <c r="C13" s="332" t="s">
        <v>320</v>
      </c>
      <c r="D13" s="108" t="s">
        <v>219</v>
      </c>
      <c r="E13" s="109" t="s">
        <v>197</v>
      </c>
      <c r="F13" s="109" t="s">
        <v>323</v>
      </c>
      <c r="G13" s="109" t="s">
        <v>163</v>
      </c>
      <c r="H13" s="109" t="s">
        <v>205</v>
      </c>
      <c r="I13" s="109" t="s">
        <v>324</v>
      </c>
      <c r="J13" s="109" t="s">
        <v>325</v>
      </c>
      <c r="K13" s="333" t="s">
        <v>370</v>
      </c>
      <c r="L13" s="109" t="s">
        <v>371</v>
      </c>
      <c r="M13" s="333" t="s">
        <v>367</v>
      </c>
      <c r="N13" s="334" t="s">
        <v>374</v>
      </c>
      <c r="O13" s="335" t="s">
        <v>368</v>
      </c>
      <c r="P13" s="109" t="s">
        <v>377</v>
      </c>
      <c r="R13" s="414" t="s">
        <v>372</v>
      </c>
      <c r="S13" s="414" t="s">
        <v>373</v>
      </c>
      <c r="T13" s="414" t="s">
        <v>375</v>
      </c>
      <c r="U13" s="414" t="s">
        <v>376</v>
      </c>
      <c r="V13" s="541"/>
      <c r="X13" s="333" t="s">
        <v>370</v>
      </c>
      <c r="Y13" s="167" t="s">
        <v>367</v>
      </c>
      <c r="Z13" s="168" t="s">
        <v>368</v>
      </c>
      <c r="AC13" s="111" t="s">
        <v>171</v>
      </c>
      <c r="AD13" s="111" t="s">
        <v>360</v>
      </c>
      <c r="AE13" s="111" t="s">
        <v>362</v>
      </c>
      <c r="AF13" s="111" t="s">
        <v>171</v>
      </c>
      <c r="AG13" s="111" t="s">
        <v>360</v>
      </c>
      <c r="AH13" s="111" t="s">
        <v>362</v>
      </c>
      <c r="AJ13" s="111" t="s">
        <v>171</v>
      </c>
      <c r="AK13" s="111" t="s">
        <v>360</v>
      </c>
      <c r="AL13" s="111" t="s">
        <v>362</v>
      </c>
      <c r="AM13" s="111" t="s">
        <v>171</v>
      </c>
      <c r="AN13" s="111" t="s">
        <v>360</v>
      </c>
      <c r="AO13" s="111" t="s">
        <v>362</v>
      </c>
    </row>
    <row r="14" spans="1:41" x14ac:dyDescent="0.2">
      <c r="A14">
        <f ca="1">MATCH(E14,ORÇAMENTO!$E$15:$E$32,0)-1</f>
        <v>1</v>
      </c>
      <c r="B14">
        <f ca="1">IF(ISERROR($A14),NA(),OFFSET(ORÇAMENTO!$D$15,$A14,0))</f>
        <v>16</v>
      </c>
      <c r="C14" t="str">
        <f ca="1">QCI!B14</f>
        <v>Automático</v>
      </c>
      <c r="D14" t="str">
        <f ca="1">IF(L14&gt;0,"F","")</f>
        <v/>
      </c>
      <c r="E14" s="321">
        <f>QCI!D14</f>
        <v>1</v>
      </c>
      <c r="F14" s="408" t="str">
        <f ca="1">QCI!G14</f>
        <v>CALÇAMENTO RUA TOMÉ MEDEIROS</v>
      </c>
      <c r="G14" s="409" t="str">
        <f>QCI!H14</f>
        <v>Em Análise</v>
      </c>
      <c r="H14" s="286">
        <f>QCI!I14</f>
        <v>2300.89</v>
      </c>
      <c r="I14" s="322" t="str">
        <f ca="1">QCI!J14</f>
        <v>m²</v>
      </c>
      <c r="J14" s="410" t="str">
        <f ca="1">QCI!K14</f>
        <v>LOTE 1</v>
      </c>
      <c r="K14" s="411">
        <f ca="1">IF($C14="Automático",IF(ACOMPANHAMENTO="BM",BM.medicao,PLE.Medicao),IF(ISBLANK($X14),"",$X14))</f>
        <v>1</v>
      </c>
      <c r="L14" s="326">
        <f ca="1">QCI!$O14</f>
        <v>0</v>
      </c>
      <c r="M14" s="323" t="e">
        <f ca="1">ROUND(IF(C14="Automático",AE14+AL14,Y14),2)</f>
        <v>#DIV/0!</v>
      </c>
      <c r="N14" s="324" t="e">
        <f ca="1">O14-M14</f>
        <v>#DIV/0!</v>
      </c>
      <c r="O14" s="325" t="e">
        <f ca="1">ROUND(IF(C14="Automático",AH14+AO14,Z14),2)</f>
        <v>#DIV/0!</v>
      </c>
      <c r="P14" s="413" t="e">
        <f ca="1">O14/(L14+10^-12)</f>
        <v>#DIV/0!</v>
      </c>
      <c r="R14" s="412" t="e">
        <f ca="1">ROUND(IF($C14="Automático",AC14+AJ14,$Y14*IF(ISERROR(QCI!$AA14/QCI!$O14),0,QCI!$AA14/QCI!$O14)),2)</f>
        <v>#DIV/0!</v>
      </c>
      <c r="S14" s="412" t="e">
        <f ca="1">ROUND(IF($C14="Automático",AD14+AK14,$Y14*IF(ISERROR(QCI!$AB14/QCI!$O14),0,QCI!$AB14/QCI!$O14)),2)</f>
        <v>#DIV/0!</v>
      </c>
      <c r="T14" s="412" t="e">
        <f ca="1">ROUND(IF($C14="Automático",AF14+AM14,$Z14*IF(ISERROR(QCI!$AA14/QCI!$O14),0,QCI!$AA14/QCI!$O14)),2)</f>
        <v>#DIV/0!</v>
      </c>
      <c r="U14" s="412" t="e">
        <f ca="1">ROUND(IF($C14="Automático",AG14+AN14,$Z14*IF(ISERROR(QCI!$AB14/QCI!$O14),0,QCI!$AB14/QCI!$O14)),2)</f>
        <v>#DIV/0!</v>
      </c>
      <c r="V14" s="540">
        <f ca="1">IF(AND($L14&gt;0,$J14&lt;&gt;0,$J14&lt;&gt;"",COUNTIF($J$13:$J14,$J14)=1),OFFSET(V14,-1,0)+1,OFFSET(V14,-1,0))</f>
        <v>0</v>
      </c>
      <c r="X14" s="327"/>
      <c r="Y14" s="328"/>
      <c r="Z14" s="330"/>
      <c r="AC14" s="198" t="e">
        <f ca="1">IF(ACOMPANHAMENTO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#DIV/0!</v>
      </c>
      <c r="AD14" s="198" t="e">
        <f ca="1">IF(ACOMPANHAMENTO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#DIV/0!</v>
      </c>
      <c r="AE14" s="198" t="e">
        <f ca="1">ROUND(IF(ACOMPANHAMENTO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#DIV/0!</v>
      </c>
      <c r="AF14" s="198" t="e">
        <f ca="1">IF(ACOMPANHAMENTO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#DIV/0!</v>
      </c>
      <c r="AG14" s="198" t="e">
        <f ca="1">IF(ACOMPANHAMENTO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#DIV/0!</v>
      </c>
      <c r="AH14" s="198" t="e">
        <f ca="1">ROUND(IF(ACOMPANHAMENTO&lt;&gt;"PLE",0,SUMIF(OFFSET(CÁLCULO!$AX$15:$BH$15,$A14,0,$B14),"&lt;="&amp;PLE.Medicao,OFFSET(CÁLCULO!$AB$15:$AL$15,$A14,0,$B14))+IF(AUTOEVENTO="Manual",SUMIF(OFFSET(CÁLCULO!$M$15,$A14,0,$B14),1,OFFSET(ORÇAMENTO!$X$15,$A14,0,$B14))*PLE!$AE$9,0)),2)</f>
        <v>#DIV/0!</v>
      </c>
      <c r="AJ14" s="198">
        <f ca="1">IF(ACOMPANHAMENTO&lt;&gt;"BM",0,SUMPRODUCT(OFFSET(BM!$M$15,$A14,0,$B14)*(OFFSET(BM!$A$15,$A14,0,$B14)="S")*OFFSET(ORÇAMENTO!AA$15,$A14,0,$B14)/(OFFSET(ORÇAMENTO!$X$15,$A14,0,$B14)+10^-12)))</f>
        <v>0</v>
      </c>
      <c r="AK14" s="198">
        <f ca="1">IF(ACOMPANHAMENTO&lt;&gt;"BM",0,SUMPRODUCT(OFFSET(BM!$M$15,$A14,0,$B14)*(OFFSET(BM!$A$15,$A14,0,$B14)="S")*OFFSET(ORÇAMENTO!AB$15,$A14,0,$B14)/(OFFSET(ORÇAMENTO!$X$15,$A14,0,$B14)+10^-12)))</f>
        <v>0</v>
      </c>
      <c r="AL14" s="198">
        <f ca="1">IF(ACOMPANHAMENTO&lt;&gt;"BM",0,OFFSET(BM!$M$15,$A14,0))</f>
        <v>0</v>
      </c>
      <c r="AM14" s="198">
        <f ca="1">IF(ACOMPANHAMENTO&lt;&gt;"BM",0,SUMPRODUCT(OFFSET(BM!$O$15,$A14,0,$B14)*(OFFSET(BM!$A$15,$A14,0,$B14)="S")*OFFSET(ORÇAMENTO!AA$15,$A14,0,$B14)/(OFFSET(ORÇAMENTO!$X$15,$A14,0,$B14)+10^-12)))</f>
        <v>0</v>
      </c>
      <c r="AN14" s="198">
        <f ca="1">IF(ACOMPANHAMENTO&lt;&gt;"BM",0,SUMPRODUCT(OFFSET(BM!$O$15,$A14,0,$B14)*(OFFSET(BM!$A$15,$A14,0,$B14)="S")*OFFSET(ORÇAMENTO!AB$15,$A14,0,$B14)/(OFFSET(ORÇAMENTO!$X$15,$A14,0,$B14)+10^-12)))</f>
        <v>0</v>
      </c>
      <c r="AO14" s="198">
        <f ca="1">IF(ACOMPANHAMENTO&lt;&gt;"BM",0,OFFSET(BM!$O$15,$A14,0))</f>
        <v>0</v>
      </c>
    </row>
    <row r="15" spans="1:41" ht="12.95" customHeight="1" x14ac:dyDescent="0.2">
      <c r="D15" t="s">
        <v>248</v>
      </c>
      <c r="E15" s="1"/>
      <c r="F15" s="1"/>
      <c r="G15" s="1"/>
      <c r="H15" s="1"/>
      <c r="I15" s="2"/>
      <c r="J15" s="712" t="s">
        <v>378</v>
      </c>
      <c r="K15" s="713"/>
      <c r="L15" s="415">
        <f ca="1">IF(ISERROR(L19/$L19),0,ROUND(L19/$L19,4))</f>
        <v>0</v>
      </c>
      <c r="M15" s="417">
        <f ca="1">IF(ISERROR(M19/$L19),0,ROUND(M19/$L19,4))</f>
        <v>0</v>
      </c>
      <c r="N15" s="416">
        <f ca="1">IF(ISERROR(N19/$L19),0,ROUND(N19/$L19,4))</f>
        <v>0</v>
      </c>
      <c r="O15" s="418">
        <f ca="1">IF(ISERROR(O19/$L19),0,ROUND(O19/$L19,4))</f>
        <v>0</v>
      </c>
      <c r="P15" s="714" t="e">
        <f ca="1">O19/(L19+10^-12)</f>
        <v>#DIV/0!</v>
      </c>
      <c r="X15" s="346"/>
      <c r="Y15" s="348"/>
      <c r="Z15" s="349"/>
    </row>
    <row r="16" spans="1:41" ht="12.95" customHeight="1" x14ac:dyDescent="0.2">
      <c r="D16" t="s">
        <v>248</v>
      </c>
      <c r="I16" s="4"/>
      <c r="J16" s="715" t="str">
        <f>IF(import.recurso="FGTS","Financiamento","Repasse")</f>
        <v>Repasse</v>
      </c>
      <c r="K16" s="716"/>
      <c r="L16" s="326">
        <f ca="1">QCI!L15</f>
        <v>0</v>
      </c>
      <c r="M16" s="323" t="e">
        <f ca="1">M19-M18-M17</f>
        <v>#DIV/0!</v>
      </c>
      <c r="N16" s="324" t="e">
        <f ca="1">O16-M16</f>
        <v>#DIV/0!</v>
      </c>
      <c r="O16" s="325" t="e">
        <f ca="1">O19-O18-O17</f>
        <v>#DIV/0!</v>
      </c>
      <c r="P16" s="714"/>
      <c r="X16" s="419"/>
      <c r="Y16" s="420" t="s">
        <v>379</v>
      </c>
      <c r="Z16" s="421" t="s">
        <v>380</v>
      </c>
      <c r="AC16" s="422" t="s">
        <v>381</v>
      </c>
      <c r="AD16" s="422" t="s">
        <v>382</v>
      </c>
    </row>
    <row r="17" spans="4:30" ht="12.95" customHeight="1" x14ac:dyDescent="0.2">
      <c r="D17" t="s">
        <v>248</v>
      </c>
      <c r="I17" s="4"/>
      <c r="J17" s="717" t="s">
        <v>383</v>
      </c>
      <c r="K17" s="718"/>
      <c r="L17" s="423">
        <f ca="1">QCI!M15</f>
        <v>0</v>
      </c>
      <c r="M17" s="424" t="e">
        <f ca="1">ROUND(IF(OFFSET($X$17,0,1)&lt;&gt;"",OFFSET($X$17,0,1),SUM(R13:OFFSET(R15,-1,0))),2)</f>
        <v>#DIV/0!</v>
      </c>
      <c r="N17" s="425" t="e">
        <f ca="1">O17-M17</f>
        <v>#DIV/0!</v>
      </c>
      <c r="O17" s="426" t="e">
        <f ca="1">IF(OFFSET($X$17,0,2)&lt;&gt;"",OFFSET($X$17,0,2),$AE$3)</f>
        <v>#DIV/0!</v>
      </c>
      <c r="P17" s="714"/>
      <c r="X17" s="427" t="s">
        <v>171</v>
      </c>
      <c r="Y17" s="535"/>
      <c r="Z17" s="536"/>
      <c r="AC17" s="428" t="e">
        <f ca="1">MIN($L17,$O$19-OFFSET($X$18,0,1))</f>
        <v>#DIV/0!</v>
      </c>
      <c r="AD17" s="428" t="e">
        <f ca="1">MIN($L17,$O$19-OFFSET($X$18,0,2))</f>
        <v>#DIV/0!</v>
      </c>
    </row>
    <row r="18" spans="4:30" ht="12.95" customHeight="1" x14ac:dyDescent="0.2">
      <c r="D18" t="s">
        <v>248</v>
      </c>
      <c r="I18" s="4"/>
      <c r="J18" s="698" t="s">
        <v>360</v>
      </c>
      <c r="K18" s="699"/>
      <c r="L18" s="429">
        <f ca="1">QCI!N15</f>
        <v>0</v>
      </c>
      <c r="M18" s="430" t="e">
        <f ca="1">ROUND(IF(OFFSET($X$18,0,1)&lt;&gt;"",OFFSET($X$18,0,1),SUM(S13:OFFSET(S15,-1,0))),2)</f>
        <v>#DIV/0!</v>
      </c>
      <c r="N18" s="431" t="e">
        <f ca="1">O18-M18</f>
        <v>#DIV/0!</v>
      </c>
      <c r="O18" s="432" t="e">
        <f ca="1">IF(OFFSET($X$18,0,2)&lt;&gt;"",OFFSET($X$18,0,2),$AE$4)</f>
        <v>#DIV/0!</v>
      </c>
      <c r="P18" s="714"/>
      <c r="X18" s="433" t="s">
        <v>280</v>
      </c>
      <c r="Y18" s="537"/>
      <c r="Z18" s="538"/>
      <c r="AC18" s="428" t="e">
        <f ca="1">MIN($L18,$O$19-OFFSET($X$17,0,1))</f>
        <v>#DIV/0!</v>
      </c>
      <c r="AD18" s="428" t="e">
        <f ca="1">MIN($L18,$O$19-OFFSET($X$17,0,2))</f>
        <v>#DIV/0!</v>
      </c>
    </row>
    <row r="19" spans="4:30" ht="15" x14ac:dyDescent="0.2">
      <c r="D19" t="s">
        <v>248</v>
      </c>
      <c r="I19" s="4"/>
      <c r="J19" s="700" t="s">
        <v>362</v>
      </c>
      <c r="K19" s="701"/>
      <c r="L19" s="434">
        <f ca="1">SUM(L13:OFFSET(L15,-1,0))</f>
        <v>0</v>
      </c>
      <c r="M19" s="435" t="e">
        <f ca="1">ROUND(SUM(M13:OFFSET(M15,-1,0)),2)</f>
        <v>#DIV/0!</v>
      </c>
      <c r="N19" s="436" t="e">
        <f ca="1">O19-M19</f>
        <v>#DIV/0!</v>
      </c>
      <c r="O19" s="437" t="e">
        <f ca="1">SUM(O13:OFFSET(O15,-1,0))</f>
        <v>#DIV/0!</v>
      </c>
      <c r="P19" s="714"/>
      <c r="X19" s="358"/>
      <c r="Y19" s="360"/>
      <c r="Z19" s="361"/>
    </row>
    <row r="20" spans="4:30" x14ac:dyDescent="0.2">
      <c r="O20" s="702" t="e">
        <f ca="1">"Acumulado Anterior:  "&amp;TEXT($M$19/($L$19+10^-12),"0,00%")</f>
        <v>#DIV/0!</v>
      </c>
      <c r="P20" s="702"/>
    </row>
    <row r="21" spans="4:30" ht="14.25" x14ac:dyDescent="0.2">
      <c r="E21" s="141" t="s">
        <v>189</v>
      </c>
      <c r="P21" s="476"/>
    </row>
    <row r="22" spans="4:30" ht="12.75" customHeight="1" x14ac:dyDescent="0.2">
      <c r="E22" s="706"/>
      <c r="F22" s="707"/>
      <c r="G22" s="707"/>
      <c r="H22" s="707"/>
      <c r="I22" s="707"/>
      <c r="J22" s="707"/>
      <c r="K22" s="707"/>
      <c r="L22" s="707"/>
      <c r="M22" s="707"/>
      <c r="N22" s="707"/>
      <c r="O22" s="707"/>
      <c r="P22" s="708"/>
    </row>
    <row r="23" spans="4:30" ht="12.75" customHeight="1" x14ac:dyDescent="0.2">
      <c r="E23" s="706"/>
      <c r="F23" s="707"/>
      <c r="G23" s="707"/>
      <c r="H23" s="707"/>
      <c r="I23" s="707"/>
      <c r="J23" s="707"/>
      <c r="K23" s="707"/>
      <c r="L23" s="707"/>
      <c r="M23" s="707"/>
      <c r="N23" s="707"/>
      <c r="O23" s="707"/>
      <c r="P23" s="708"/>
      <c r="Y23" s="438"/>
      <c r="Z23" s="438"/>
    </row>
    <row r="24" spans="4:30" ht="12.75" customHeight="1" x14ac:dyDescent="0.2">
      <c r="E24" s="709"/>
      <c r="F24" s="710"/>
      <c r="G24" s="710"/>
      <c r="H24" s="710"/>
      <c r="I24" s="710"/>
      <c r="J24" s="710"/>
      <c r="K24" s="710"/>
      <c r="L24" s="710"/>
      <c r="M24" s="710"/>
      <c r="N24" s="710"/>
      <c r="O24" s="710"/>
      <c r="P24" s="711"/>
    </row>
    <row r="26" spans="4:30" ht="15" x14ac:dyDescent="0.2">
      <c r="E26" s="617" t="str">
        <f>Import.Município</f>
        <v>Caçapava do Sul/RS</v>
      </c>
      <c r="F26" s="617"/>
      <c r="G26" s="617"/>
      <c r="I26" s="439"/>
      <c r="L26" s="640">
        <f ca="1">DADOS!$F$25</f>
        <v>45545</v>
      </c>
      <c r="M26" s="640"/>
      <c r="N26" s="640"/>
      <c r="O26" s="640"/>
    </row>
    <row r="27" spans="4:30" x14ac:dyDescent="0.2">
      <c r="E27" s="10" t="s">
        <v>190</v>
      </c>
      <c r="L27" s="10" t="s">
        <v>191</v>
      </c>
    </row>
    <row r="29" spans="4:30" x14ac:dyDescent="0.2">
      <c r="E29" s="193"/>
      <c r="F29" s="193"/>
      <c r="G29" s="193"/>
      <c r="L29" s="193"/>
      <c r="M29" s="193"/>
      <c r="N29" s="193"/>
      <c r="O29" s="193"/>
    </row>
    <row r="30" spans="4:30" x14ac:dyDescent="0.2">
      <c r="E30" s="440" t="str">
        <f>IF(CAIXA.Modo,"Responsável Gerencial CAIXA","Representante Tomador")</f>
        <v>Representante Tomador</v>
      </c>
      <c r="F30" s="7"/>
      <c r="L30" s="440" t="str">
        <f>IF(CAIXA.Modo,"Responsável Técnico CAIXA","Responsável Técnico pela Fiscalização")</f>
        <v>Responsável Técnico pela Fiscalização</v>
      </c>
    </row>
    <row r="31" spans="4:30" x14ac:dyDescent="0.2">
      <c r="E31" s="78" t="s">
        <v>109</v>
      </c>
      <c r="F31" s="311" t="str">
        <f>IF(CAIXA.Modo,DADOS!F59,DADOS!F28)</f>
        <v>Giovani Amestoy da Silva</v>
      </c>
      <c r="L31" s="78" t="s">
        <v>109</v>
      </c>
      <c r="M31" s="689">
        <f>IF(CAIXA.Modo,BM!X44,DADOS!F50)</f>
        <v>0</v>
      </c>
      <c r="N31" s="689"/>
      <c r="O31" s="689"/>
    </row>
    <row r="32" spans="4:30" x14ac:dyDescent="0.2">
      <c r="E32" s="78" t="str">
        <f>IF(CAIXA.Modo,"Função:","Cargo:")</f>
        <v>Cargo:</v>
      </c>
      <c r="F32" s="311" t="str">
        <f>IF(CAIXA.Modo,DADOS!F60,DADOS!F29)</f>
        <v>Prefeito Municipal</v>
      </c>
      <c r="L32" s="78" t="str">
        <f>IF(CAIXA.Modo,"Matrícula:","Profissão:")</f>
        <v>Profissão:</v>
      </c>
      <c r="M32" s="689">
        <f>IF(CAIXA.Modo,BM!X45,DADOS!F51)</f>
        <v>0</v>
      </c>
      <c r="N32" s="689"/>
      <c r="O32" s="689"/>
    </row>
    <row r="33" spans="5:15" x14ac:dyDescent="0.2">
      <c r="L33" s="78" t="s">
        <v>110</v>
      </c>
      <c r="M33" s="689">
        <f>IF(CAIXA.Modo,BM!X46,DADOS!F52)</f>
        <v>0</v>
      </c>
      <c r="N33" s="689"/>
      <c r="O33" s="689"/>
    </row>
    <row r="34" spans="5:15" x14ac:dyDescent="0.2">
      <c r="L34" s="78" t="str">
        <f>IF(CAIXA.Modo,"","ART/RRT:")</f>
        <v>ART/RRT:</v>
      </c>
      <c r="M34" s="13">
        <f>IF(CAIXA.Modo,"",DADOS!F53)</f>
        <v>0</v>
      </c>
    </row>
    <row r="36" spans="5:15" x14ac:dyDescent="0.2">
      <c r="E36" s="193"/>
      <c r="F36" s="193"/>
      <c r="G36" s="193"/>
      <c r="L36" s="193"/>
      <c r="M36" s="193"/>
      <c r="N36" s="193"/>
      <c r="O36" s="193"/>
    </row>
    <row r="37" spans="5:15" x14ac:dyDescent="0.2">
      <c r="E37" t="str">
        <f>IF(CAIXA.Modo,"Responsável Social CAIXA","Responsável Social")</f>
        <v>Responsável Social</v>
      </c>
      <c r="L37" t="str">
        <f>IF(CAIXA.Modo,"Responsável Operacional CAIXA","Responsável Financeiro")</f>
        <v>Responsável Financeiro</v>
      </c>
    </row>
    <row r="38" spans="5:15" x14ac:dyDescent="0.2">
      <c r="E38" s="78" t="s">
        <v>109</v>
      </c>
      <c r="F38" s="688"/>
      <c r="G38" s="688"/>
      <c r="L38" s="78" t="s">
        <v>109</v>
      </c>
      <c r="M38" s="688"/>
      <c r="N38" s="688"/>
      <c r="O38" s="688"/>
    </row>
    <row r="39" spans="5:15" x14ac:dyDescent="0.2">
      <c r="E39" s="78" t="str">
        <f>IF(CAIXA.Modo,"Função:","Cargo:")</f>
        <v>Cargo:</v>
      </c>
      <c r="F39" s="688"/>
      <c r="G39" s="688"/>
      <c r="L39" s="78" t="str">
        <f>IF(CAIXA.Modo,"Função:","Cargo:")</f>
        <v>Cargo:</v>
      </c>
      <c r="M39" s="688"/>
      <c r="N39" s="688"/>
      <c r="O39" s="688"/>
    </row>
    <row r="40" spans="5:15" x14ac:dyDescent="0.2">
      <c r="E40" s="78" t="str">
        <f>IF(CAIXA.Modo,"Matr:","")</f>
        <v/>
      </c>
      <c r="F40" s="688"/>
      <c r="G40" s="688"/>
      <c r="L40" s="78" t="str">
        <f>IF(CAIXA.Modo,"Matrícula:","")</f>
        <v/>
      </c>
      <c r="M40" s="688"/>
      <c r="N40" s="688"/>
      <c r="O40" s="688"/>
    </row>
  </sheetData>
  <sheetProtection password="BD1F" sheet="1" objects="1" scenarios="1" autoFilter="0"/>
  <autoFilter ref="D13:D21"/>
  <mergeCells count="40">
    <mergeCell ref="M4:O4"/>
    <mergeCell ref="M40:O40"/>
    <mergeCell ref="E22:P24"/>
    <mergeCell ref="L26:O26"/>
    <mergeCell ref="M31:O31"/>
    <mergeCell ref="M32:O32"/>
    <mergeCell ref="M33:O33"/>
    <mergeCell ref="M38:O38"/>
    <mergeCell ref="F40:G40"/>
    <mergeCell ref="E26:G26"/>
    <mergeCell ref="F38:G38"/>
    <mergeCell ref="F39:G39"/>
    <mergeCell ref="J15:K15"/>
    <mergeCell ref="P15:P19"/>
    <mergeCell ref="J16:K16"/>
    <mergeCell ref="J17:K17"/>
    <mergeCell ref="J18:K18"/>
    <mergeCell ref="J19:K19"/>
    <mergeCell ref="O20:P20"/>
    <mergeCell ref="M39:O39"/>
    <mergeCell ref="AC10:AH10"/>
    <mergeCell ref="AJ10:AO10"/>
    <mergeCell ref="Y11:Z11"/>
    <mergeCell ref="AC11:AE11"/>
    <mergeCell ref="AF11:AH11"/>
    <mergeCell ref="AJ11:AL11"/>
    <mergeCell ref="AM11:AO11"/>
    <mergeCell ref="D7:D11"/>
    <mergeCell ref="E7:H7"/>
    <mergeCell ref="I7:L7"/>
    <mergeCell ref="G9:H9"/>
    <mergeCell ref="I9:J9"/>
    <mergeCell ref="L9:L10"/>
    <mergeCell ref="G10:H10"/>
    <mergeCell ref="E6:H6"/>
    <mergeCell ref="I6:L6"/>
    <mergeCell ref="E3:H3"/>
    <mergeCell ref="I3:K3"/>
    <mergeCell ref="E4:H4"/>
    <mergeCell ref="I4:K4"/>
  </mergeCells>
  <phoneticPr fontId="38" type="noConversion"/>
  <conditionalFormatting sqref="X12:Z12">
    <cfRule type="expression" dxfId="6" priority="84" stopIfTrue="1">
      <formula>OR($C12="Automático",$C12="Branco")</formula>
    </cfRule>
  </conditionalFormatting>
  <conditionalFormatting sqref="F40:G40 M40:O40">
    <cfRule type="expression" dxfId="5" priority="85" stopIfTrue="1">
      <formula>CAIXA.Modo=FALSE</formula>
    </cfRule>
  </conditionalFormatting>
  <conditionalFormatting sqref="M12 M16:M19 O12 O16:O19">
    <cfRule type="cellIs" dxfId="4" priority="86" stopIfTrue="1" operator="notBetween">
      <formula>0</formula>
      <formula>$L12</formula>
    </cfRule>
  </conditionalFormatting>
  <conditionalFormatting sqref="M10:N10">
    <cfRule type="cellIs" dxfId="3" priority="87" stopIfTrue="1" operator="lessThan">
      <formula>0</formula>
    </cfRule>
  </conditionalFormatting>
  <conditionalFormatting sqref="X14:Z14">
    <cfRule type="expression" dxfId="2" priority="1" stopIfTrue="1">
      <formula>OR($C14="Automático",$C14="Branco")</formula>
    </cfRule>
  </conditionalFormatting>
  <conditionalFormatting sqref="M14 O14">
    <cfRule type="cellIs" dxfId="1" priority="2" stopIfTrue="1" operator="notBetween">
      <formula>0</formula>
      <formula>$L14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17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17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18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18">
      <formula1>0</formula1>
      <formula2>RRE.MaxOUAcum</formula2>
    </dataValidation>
    <dataValidation type="decimal" allowBlank="1" showInputMessage="1" showErrorMessage="1" sqref="Y12:Z12 Y14:Z14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1:Q56"/>
  <sheetViews>
    <sheetView showGridLines="0" topLeftCell="A7" zoomScale="90" zoomScaleNormal="90" zoomScaleSheetLayoutView="100" workbookViewId="0"/>
  </sheetViews>
  <sheetFormatPr defaultRowHeight="12.75" x14ac:dyDescent="0.2"/>
  <cols>
    <col min="1" max="1" width="2" customWidth="1"/>
    <col min="2" max="2" width="15.7109375" customWidth="1"/>
    <col min="3" max="3" width="6.7109375" customWidth="1"/>
    <col min="4" max="5" width="20.7109375" customWidth="1"/>
    <col min="6" max="6" width="8.7109375" customWidth="1"/>
    <col min="7" max="7" width="12.7109375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724"/>
      <c r="C1" s="724"/>
      <c r="D1" s="50"/>
      <c r="E1" s="50"/>
      <c r="F1" s="50"/>
      <c r="G1" s="53" t="s">
        <v>141</v>
      </c>
    </row>
    <row r="2" spans="2:17" x14ac:dyDescent="0.2">
      <c r="B2" s="724"/>
      <c r="C2" s="724"/>
      <c r="D2" s="50"/>
      <c r="E2" s="50"/>
      <c r="F2" s="50"/>
      <c r="G2" s="12" t="s">
        <v>384</v>
      </c>
    </row>
    <row r="3" spans="2:17" ht="26.1" customHeight="1" thickBot="1" x14ac:dyDescent="0.25">
      <c r="B3" s="724"/>
      <c r="C3" s="724"/>
      <c r="D3" s="50"/>
      <c r="E3" s="50"/>
      <c r="F3" s="50"/>
      <c r="G3" s="441"/>
      <c r="I3" s="442" t="s">
        <v>385</v>
      </c>
    </row>
    <row r="4" spans="2:17" ht="12.75" customHeight="1" x14ac:dyDescent="0.2">
      <c r="B4" s="724"/>
      <c r="C4" s="724"/>
      <c r="D4" s="50"/>
      <c r="E4" s="50"/>
      <c r="F4" s="50"/>
      <c r="G4" s="50"/>
      <c r="I4" s="725" t="s">
        <v>386</v>
      </c>
      <c r="J4" s="727" t="s">
        <v>387</v>
      </c>
      <c r="K4" s="727" t="s">
        <v>388</v>
      </c>
      <c r="L4" s="719" t="s">
        <v>389</v>
      </c>
    </row>
    <row r="5" spans="2:17" x14ac:dyDescent="0.2">
      <c r="I5" s="726"/>
      <c r="J5" s="728"/>
      <c r="K5" s="728"/>
      <c r="L5" s="720"/>
    </row>
    <row r="6" spans="2:17" x14ac:dyDescent="0.2">
      <c r="B6" s="443" t="s">
        <v>390</v>
      </c>
      <c r="C6" s="721"/>
      <c r="D6" s="721"/>
      <c r="E6" s="443"/>
      <c r="F6" s="443"/>
      <c r="G6" s="50"/>
      <c r="I6" s="523" t="str">
        <f ca="1">IF(ROW(I6)-ROW(L$5)&gt;MAX(RRE!$V$13:$V$15),"",INDEX(RRE!$J$13:$J$15,MATCH(ROW(I6)-ROW(I$5),RRE!$V$13:$V$15,0)))</f>
        <v/>
      </c>
      <c r="J6" s="524" t="str">
        <f ca="1">IF(I6="","",SUMIF(RRE!$J$13:$J$15,OFÍCIO!$I6,RRE!$L$13:$L$15))</f>
        <v/>
      </c>
      <c r="K6" s="524" t="str">
        <f ca="1">IF(J6="","",SUMIF(RRE!$J$13:$J$15,OFÍCIO!$I6,RRE!$N$13:$N$15))</f>
        <v/>
      </c>
      <c r="L6" s="525" t="str">
        <f ca="1">IF(K6="","",SUMIF(RRE!$J$13:$J$15,OFÍCIO!$I6,RRE!$O$13:$O$15))</f>
        <v/>
      </c>
      <c r="N6" s="10"/>
    </row>
    <row r="7" spans="2:17" x14ac:dyDescent="0.2">
      <c r="B7" s="50"/>
      <c r="C7" s="50"/>
      <c r="D7" s="50"/>
      <c r="E7" s="50"/>
      <c r="F7" s="50"/>
      <c r="G7" s="50"/>
      <c r="I7" s="517" t="str">
        <f ca="1">IF(ROW(I7)-ROW(L$5)&gt;MAX(RRE!$V$13:$V$15),"",INDEX(RRE!$J$13:$J$15,MATCH(ROW(I7)-ROW(I$5),RRE!$V$13:$V$15,0)))</f>
        <v/>
      </c>
      <c r="J7" s="518" t="str">
        <f ca="1">IF(I7="","",SUMIF(RRE!$J$13:$J$15,OFÍCIO!$I7,RRE!$L$13:$L$15))</f>
        <v/>
      </c>
      <c r="K7" s="518" t="str">
        <f ca="1">IF(J7="","",SUMIF(RRE!$J$13:$J$15,OFÍCIO!$I7,RRE!$N$13:$N$15))</f>
        <v/>
      </c>
      <c r="L7" s="519" t="str">
        <f ca="1">IF(K7="","",SUMIF(RRE!$J$13:$J$15,OFÍCIO!$I7,RRE!$O$13:$O$15))</f>
        <v/>
      </c>
    </row>
    <row r="8" spans="2:17" x14ac:dyDescent="0.2">
      <c r="B8" s="722" t="str">
        <f ca="1">CONCATENATE(RRE!$E$26,", ",TEXT(RRE!$L$26,"dd"" de ""mmmm"" de ""aaaa"))</f>
        <v>Caçapava do Sul/RS, 10 de setembro de 2024</v>
      </c>
      <c r="C8" s="722"/>
      <c r="D8" s="722"/>
      <c r="E8" s="722"/>
      <c r="F8" s="722"/>
      <c r="G8" s="722"/>
      <c r="H8" s="444"/>
      <c r="I8" s="517" t="str">
        <f ca="1">IF(ROW(I8)-ROW(L$5)&gt;MAX(RRE!$V$13:$V$15),"",INDEX(RRE!$J$13:$J$15,MATCH(ROW(I8)-ROW(I$5),RRE!$V$13:$V$15,0)))</f>
        <v/>
      </c>
      <c r="J8" s="518" t="str">
        <f ca="1">IF(I8="","",SUMIF(RRE!$J$13:$J$15,OFÍCIO!$I8,RRE!$L$13:$L$15))</f>
        <v/>
      </c>
      <c r="K8" s="518" t="str">
        <f ca="1">IF(J8="","",SUMIF(RRE!$J$13:$J$15,OFÍCIO!$I8,RRE!$N$13:$N$15))</f>
        <v/>
      </c>
      <c r="L8" s="519" t="str">
        <f ca="1">IF(K8="","",SUMIF(RRE!$J$13:$J$15,OFÍCIO!$I8,RRE!$O$13:$O$15))</f>
        <v/>
      </c>
      <c r="N8" s="444"/>
      <c r="O8" s="444"/>
      <c r="P8" s="444"/>
      <c r="Q8" s="444"/>
    </row>
    <row r="9" spans="2:17" x14ac:dyDescent="0.2">
      <c r="B9" s="445" t="s">
        <v>391</v>
      </c>
      <c r="C9" s="50"/>
      <c r="D9" s="50"/>
      <c r="G9" s="50"/>
      <c r="H9" s="444"/>
      <c r="I9" s="517" t="str">
        <f ca="1">IF(ROW(I9)-ROW(L$5)&gt;MAX(RRE!$V$13:$V$15),"",INDEX(RRE!$J$13:$J$15,MATCH(ROW(I9)-ROW(I$5),RRE!$V$13:$V$15,0)))</f>
        <v/>
      </c>
      <c r="J9" s="518" t="str">
        <f ca="1">IF(I9="","",SUMIF(RRE!$J$13:$J$15,OFÍCIO!$I9,RRE!$L$13:$L$15))</f>
        <v/>
      </c>
      <c r="K9" s="518" t="str">
        <f ca="1">IF(J9="","",SUMIF(RRE!$J$13:$J$15,OFÍCIO!$I9,RRE!$N$13:$N$15))</f>
        <v/>
      </c>
      <c r="L9" s="519" t="str">
        <f ca="1">IF(K9="","",SUMIF(RRE!$J$13:$J$15,OFÍCIO!$I9,RRE!$O$13:$O$15))</f>
        <v/>
      </c>
      <c r="N9" s="444"/>
      <c r="O9" s="444"/>
      <c r="P9" s="444"/>
      <c r="Q9" s="444"/>
    </row>
    <row r="10" spans="2:17" x14ac:dyDescent="0.2">
      <c r="B10" s="723" t="s">
        <v>392</v>
      </c>
      <c r="C10" s="723"/>
      <c r="D10" s="723"/>
      <c r="G10" s="50"/>
      <c r="H10" s="444"/>
      <c r="I10" s="517" t="str">
        <f ca="1">IF(ROW(I10)-ROW(L$5)&gt;MAX(RRE!$V$13:$V$15),"",INDEX(RRE!$J$13:$J$15,MATCH(ROW(I10)-ROW(I$5),RRE!$V$13:$V$15,0)))</f>
        <v/>
      </c>
      <c r="J10" s="518" t="str">
        <f ca="1">IF(I10="","",SUMIF(RRE!$J$13:$J$15,OFÍCIO!$I10,RRE!$L$13:$L$15))</f>
        <v/>
      </c>
      <c r="K10" s="518" t="str">
        <f ca="1">IF(J10="","",SUMIF(RRE!$J$13:$J$15,OFÍCIO!$I10,RRE!$N$13:$N$15))</f>
        <v/>
      </c>
      <c r="L10" s="519" t="str">
        <f ca="1">IF(K10="","",SUMIF(RRE!$J$13:$J$15,OFÍCIO!$I10,RRE!$O$13:$O$15))</f>
        <v/>
      </c>
      <c r="N10" s="444"/>
      <c r="O10" s="444"/>
      <c r="P10" s="444"/>
      <c r="Q10" s="444"/>
    </row>
    <row r="11" spans="2:17" x14ac:dyDescent="0.2">
      <c r="B11" s="446" t="s">
        <v>411</v>
      </c>
      <c r="C11" s="688"/>
      <c r="D11" s="688"/>
      <c r="G11" s="50"/>
      <c r="H11" s="444"/>
      <c r="I11" s="517" t="str">
        <f ca="1">IF(ROW(I11)-ROW(L$5)&gt;MAX(RRE!$V$13:$V$15),"",INDEX(RRE!$J$13:$J$15,MATCH(ROW(I11)-ROW(I$5),RRE!$V$13:$V$15,0)))</f>
        <v/>
      </c>
      <c r="J11" s="518" t="str">
        <f ca="1">IF(I11="","",SUMIF(RRE!$J$13:$J$15,OFÍCIO!$I11,RRE!$L$13:$L$15))</f>
        <v/>
      </c>
      <c r="K11" s="518" t="str">
        <f ca="1">IF(J11="","",SUMIF(RRE!$J$13:$J$15,OFÍCIO!$I11,RRE!$N$13:$N$15))</f>
        <v/>
      </c>
      <c r="L11" s="519" t="str">
        <f ca="1">IF(K11="","",SUMIF(RRE!$J$13:$J$15,OFÍCIO!$I11,RRE!$O$13:$O$15))</f>
        <v/>
      </c>
      <c r="N11" s="444"/>
      <c r="O11" s="444"/>
      <c r="P11" s="444"/>
      <c r="Q11" s="444"/>
    </row>
    <row r="12" spans="2:17" x14ac:dyDescent="0.2">
      <c r="B12" s="447"/>
      <c r="C12" s="447"/>
      <c r="D12" s="447"/>
      <c r="E12" s="447"/>
      <c r="F12" s="447"/>
      <c r="G12" s="50"/>
      <c r="H12" s="444"/>
      <c r="I12" s="517" t="str">
        <f ca="1">IF(ROW(I12)-ROW(L$5)&gt;MAX(RRE!$V$13:$V$15),"",INDEX(RRE!$J$13:$J$15,MATCH(ROW(I12)-ROW(I$5),RRE!$V$13:$V$15,0)))</f>
        <v/>
      </c>
      <c r="J12" s="518" t="str">
        <f ca="1">IF(I12="","",SUMIF(RRE!$J$13:$J$15,OFÍCIO!$I12,RRE!$L$13:$L$15))</f>
        <v/>
      </c>
      <c r="K12" s="518" t="str">
        <f ca="1">IF(J12="","",SUMIF(RRE!$J$13:$J$15,OFÍCIO!$I12,RRE!$N$13:$N$15))</f>
        <v/>
      </c>
      <c r="L12" s="519" t="str">
        <f ca="1">IF(K12="","",SUMIF(RRE!$J$13:$J$15,OFÍCIO!$I12,RRE!$O$13:$O$15))</f>
        <v/>
      </c>
      <c r="N12" s="444"/>
      <c r="O12" s="444"/>
      <c r="P12" s="444"/>
      <c r="Q12" s="444"/>
    </row>
    <row r="13" spans="2:17" x14ac:dyDescent="0.2">
      <c r="B13" s="50"/>
      <c r="C13" s="50"/>
      <c r="D13" s="50"/>
      <c r="E13" s="50"/>
      <c r="F13" s="50"/>
      <c r="G13" s="50"/>
      <c r="I13" s="517" t="str">
        <f ca="1">IF(ROW(I13)-ROW(L$5)&gt;MAX(RRE!$V$13:$V$15),"",INDEX(RRE!$J$13:$J$15,MATCH(ROW(I13)-ROW(I$5),RRE!$V$13:$V$15,0)))</f>
        <v/>
      </c>
      <c r="J13" s="518" t="str">
        <f ca="1">IF(I13="","",SUMIF(RRE!$J$13:$J$15,OFÍCIO!$I13,RRE!$L$13:$L$15))</f>
        <v/>
      </c>
      <c r="K13" s="518" t="str">
        <f ca="1">IF(J13="","",SUMIF(RRE!$J$13:$J$15,OFÍCIO!$I13,RRE!$N$13:$N$15))</f>
        <v/>
      </c>
      <c r="L13" s="519" t="str">
        <f ca="1">IF(K13="","",SUMIF(RRE!$J$13:$J$15,OFÍCIO!$I13,RRE!$O$13:$O$15))</f>
        <v/>
      </c>
    </row>
    <row r="14" spans="2:17" x14ac:dyDescent="0.2">
      <c r="B14" s="445" t="s">
        <v>393</v>
      </c>
      <c r="C14" s="723" t="str">
        <f ca="1">CONCATENATE(RRE.Numero,"ª"," Solicitação de ",IF(import.recurso="OGU","Desbloqueio","Desembolso")," de Recursos.")</f>
        <v>1ª Solicitação de Desbloqueio de Recursos.</v>
      </c>
      <c r="D14" s="723"/>
      <c r="E14" s="723"/>
      <c r="F14" s="723"/>
      <c r="G14" s="723"/>
      <c r="I14" s="517" t="str">
        <f ca="1">IF(ROW(I14)-ROW(L$5)&gt;MAX(RRE!$V$13:$V$15),"",INDEX(RRE!$J$13:$J$15,MATCH(ROW(I14)-ROW(I$5),RRE!$V$13:$V$15,0)))</f>
        <v/>
      </c>
      <c r="J14" s="518" t="str">
        <f ca="1">IF(I14="","",SUMIF(RRE!$J$13:$J$15,OFÍCIO!$I14,RRE!$L$13:$L$15))</f>
        <v/>
      </c>
      <c r="K14" s="518" t="str">
        <f ca="1">IF(J14="","",SUMIF(RRE!$J$13:$J$15,OFÍCIO!$I14,RRE!$N$13:$N$15))</f>
        <v/>
      </c>
      <c r="L14" s="519" t="str">
        <f ca="1">IF(K14="","",SUMIF(RRE!$J$13:$J$15,OFÍCIO!$I14,RRE!$O$13:$O$15))</f>
        <v/>
      </c>
    </row>
    <row r="15" spans="2:17" ht="12.75" customHeight="1" x14ac:dyDescent="0.2">
      <c r="B15" s="445" t="s">
        <v>394</v>
      </c>
      <c r="C15" s="733" t="str">
        <f>CONCATENATE("Contrato de ",IF(import.recurso="OGU","Repasse","Financiamento")," - Operação nº ",Import.CR,IF(Import.SICONV="","",CONCATENATE(" - SICONV nº ",Import.SICONV)))</f>
        <v xml:space="preserve">Contrato de Repasse - Operação nº </v>
      </c>
      <c r="D15" s="733"/>
      <c r="E15" s="733"/>
      <c r="F15" s="733"/>
      <c r="G15" s="733"/>
      <c r="I15" s="517" t="str">
        <f ca="1">IF(ROW(I15)-ROW(L$5)&gt;MAX(RRE!$V$13:$V$15),"",INDEX(RRE!$J$13:$J$15,MATCH(ROW(I15)-ROW(I$5),RRE!$V$13:$V$15,0)))</f>
        <v/>
      </c>
      <c r="J15" s="518" t="str">
        <f ca="1">IF(I15="","",SUMIF(RRE!$J$13:$J$15,OFÍCIO!$I15,RRE!$L$13:$L$15))</f>
        <v/>
      </c>
      <c r="K15" s="518" t="str">
        <f ca="1">IF(J15="","",SUMIF(RRE!$J$13:$J$15,OFÍCIO!$I15,RRE!$N$13:$N$15))</f>
        <v/>
      </c>
      <c r="L15" s="519" t="str">
        <f ca="1">IF(K15="","",SUMIF(RRE!$J$13:$J$15,OFÍCIO!$I15,RRE!$O$13:$O$15))</f>
        <v/>
      </c>
    </row>
    <row r="16" spans="2:17" x14ac:dyDescent="0.2">
      <c r="B16" s="445"/>
      <c r="C16" s="733"/>
      <c r="D16" s="733"/>
      <c r="E16" s="733"/>
      <c r="F16" s="733"/>
      <c r="G16" s="733"/>
      <c r="I16" s="517" t="str">
        <f ca="1">IF(ROW(I16)-ROW(L$5)&gt;MAX(RRE!$V$13:$V$15),"",INDEX(RRE!$J$13:$J$15,MATCH(ROW(I16)-ROW(I$5),RRE!$V$13:$V$15,0)))</f>
        <v/>
      </c>
      <c r="J16" s="518" t="str">
        <f ca="1">IF(I16="","",SUMIF(RRE!$J$13:$J$15,OFÍCIO!$I16,RRE!$L$13:$L$15))</f>
        <v/>
      </c>
      <c r="K16" s="518" t="str">
        <f ca="1">IF(J16="","",SUMIF(RRE!$J$13:$J$15,OFÍCIO!$I16,RRE!$N$13:$N$15))</f>
        <v/>
      </c>
      <c r="L16" s="519" t="str">
        <f ca="1">IF(K16="","",SUMIF(RRE!$J$13:$J$15,OFÍCIO!$I16,RRE!$O$13:$O$15))</f>
        <v/>
      </c>
    </row>
    <row r="17" spans="2:12" x14ac:dyDescent="0.2">
      <c r="B17" s="50"/>
      <c r="C17" s="50"/>
      <c r="D17" s="50"/>
      <c r="E17" s="50"/>
      <c r="F17" s="50"/>
      <c r="G17" s="50"/>
      <c r="I17" s="517" t="str">
        <f ca="1">IF(ROW(I17)-ROW(L$5)&gt;MAX(RRE!$V$13:$V$15),"",INDEX(RRE!$J$13:$J$15,MATCH(ROW(I17)-ROW(I$5),RRE!$V$13:$V$15,0)))</f>
        <v/>
      </c>
      <c r="J17" s="518" t="str">
        <f ca="1">IF(I17="","",SUMIF(RRE!$J$13:$J$15,OFÍCIO!$I17,RRE!$L$13:$L$15))</f>
        <v/>
      </c>
      <c r="K17" s="518" t="str">
        <f ca="1">IF(J17="","",SUMIF(RRE!$J$13:$J$15,OFÍCIO!$I17,RRE!$N$13:$N$15))</f>
        <v/>
      </c>
      <c r="L17" s="519" t="str">
        <f ca="1">IF(K17="","",SUMIF(RRE!$J$13:$J$15,OFÍCIO!$I17,RRE!$O$13:$O$15))</f>
        <v/>
      </c>
    </row>
    <row r="18" spans="2:12" ht="12.75" customHeight="1" x14ac:dyDescent="0.2">
      <c r="B18" s="311" t="s">
        <v>395</v>
      </c>
      <c r="C18" s="729" t="str">
        <f>Import.DescLote</f>
        <v>Lote Único - Empreitada Preço Global</v>
      </c>
      <c r="D18" s="729"/>
      <c r="E18" s="729"/>
      <c r="F18" s="729"/>
      <c r="G18" s="729"/>
      <c r="I18" s="517" t="str">
        <f ca="1">IF(ROW(I18)-ROW(L$5)&gt;MAX(RRE!$V$13:$V$15),"",INDEX(RRE!$J$13:$J$15,MATCH(ROW(I18)-ROW(I$5),RRE!$V$13:$V$15,0)))</f>
        <v/>
      </c>
      <c r="J18" s="518" t="str">
        <f ca="1">IF(I18="","",SUMIF(RRE!$J$13:$J$15,OFÍCIO!$I18,RRE!$L$13:$L$15))</f>
        <v/>
      </c>
      <c r="K18" s="518" t="str">
        <f ca="1">IF(J18="","",SUMIF(RRE!$J$13:$J$15,OFÍCIO!$I18,RRE!$N$13:$N$15))</f>
        <v/>
      </c>
      <c r="L18" s="519" t="str">
        <f ca="1">IF(K18="","",SUMIF(RRE!$J$13:$J$15,OFÍCIO!$I18,RRE!$O$13:$O$15))</f>
        <v/>
      </c>
    </row>
    <row r="19" spans="2:12" ht="12.75" customHeight="1" x14ac:dyDescent="0.2">
      <c r="B19" s="731" t="s">
        <v>396</v>
      </c>
      <c r="C19" s="732" t="str">
        <f>Import.Proponente</f>
        <v>Prefeitura Municipal de Caçapava do Sul</v>
      </c>
      <c r="D19" s="732"/>
      <c r="E19" s="732"/>
      <c r="F19" s="732"/>
      <c r="G19" s="732"/>
      <c r="I19" s="517" t="str">
        <f ca="1">IF(ROW(I19)-ROW(L$5)&gt;MAX(RRE!$V$13:$V$15),"",INDEX(RRE!$J$13:$J$15,MATCH(ROW(I19)-ROW(I$5),RRE!$V$13:$V$15,0)))</f>
        <v/>
      </c>
      <c r="J19" s="518" t="str">
        <f ca="1">IF(I19="","",SUMIF(RRE!$J$13:$J$15,OFÍCIO!$I19,RRE!$L$13:$L$15))</f>
        <v/>
      </c>
      <c r="K19" s="518" t="str">
        <f ca="1">IF(J19="","",SUMIF(RRE!$J$13:$J$15,OFÍCIO!$I19,RRE!$N$13:$N$15))</f>
        <v/>
      </c>
      <c r="L19" s="519" t="str">
        <f ca="1">IF(K19="","",SUMIF(RRE!$J$13:$J$15,OFÍCIO!$I19,RRE!$O$13:$O$15))</f>
        <v/>
      </c>
    </row>
    <row r="20" spans="2:12" x14ac:dyDescent="0.2">
      <c r="B20" s="731"/>
      <c r="C20" s="732"/>
      <c r="D20" s="732"/>
      <c r="E20" s="732"/>
      <c r="F20" s="732"/>
      <c r="G20" s="732"/>
      <c r="I20" s="517" t="str">
        <f ca="1">IF(ROW(I20)-ROW(L$5)&gt;MAX(RRE!$V$13:$V$15),"",INDEX(RRE!$J$13:$J$15,MATCH(ROW(I20)-ROW(I$5),RRE!$V$13:$V$15,0)))</f>
        <v/>
      </c>
      <c r="J20" s="518" t="str">
        <f ca="1">IF(I20="","",SUMIF(RRE!$J$13:$J$15,OFÍCIO!$I20,RRE!$L$13:$L$15))</f>
        <v/>
      </c>
      <c r="K20" s="518" t="str">
        <f ca="1">IF(J20="","",SUMIF(RRE!$J$13:$J$15,OFÍCIO!$I20,RRE!$N$13:$N$15))</f>
        <v/>
      </c>
      <c r="L20" s="519" t="str">
        <f ca="1">IF(K20="","",SUMIF(RRE!$J$13:$J$15,OFÍCIO!$I20,RRE!$O$13:$O$15))</f>
        <v/>
      </c>
    </row>
    <row r="21" spans="2:12" x14ac:dyDescent="0.2">
      <c r="B21" s="50"/>
      <c r="C21" s="50"/>
      <c r="D21" s="50"/>
      <c r="E21" s="50"/>
      <c r="F21" s="50"/>
      <c r="G21" s="50"/>
      <c r="I21" s="517" t="str">
        <f ca="1">IF(ROW(I21)-ROW(L$5)&gt;MAX(RRE!$V$13:$V$15),"",INDEX(RRE!$J$13:$J$15,MATCH(ROW(I21)-ROW(I$5),RRE!$V$13:$V$15,0)))</f>
        <v/>
      </c>
      <c r="J21" s="518" t="str">
        <f ca="1">IF(I21="","",SUMIF(RRE!$J$13:$J$15,OFÍCIO!$I21,RRE!$L$13:$L$15))</f>
        <v/>
      </c>
      <c r="K21" s="518" t="str">
        <f ca="1">IF(J21="","",SUMIF(RRE!$J$13:$J$15,OFÍCIO!$I21,RRE!$N$13:$N$15))</f>
        <v/>
      </c>
      <c r="L21" s="519" t="str">
        <f ca="1">IF(K21="","",SUMIF(RRE!$J$13:$J$15,OFÍCIO!$I21,RRE!$O$13:$O$15))</f>
        <v/>
      </c>
    </row>
    <row r="22" spans="2:12" x14ac:dyDescent="0.2">
      <c r="B22" t="str">
        <f>IF(B11="GIGOV","Senhor Gerente","Senhor Superintendente")</f>
        <v>Senhor Gerente</v>
      </c>
      <c r="D22" s="50"/>
      <c r="E22" s="50"/>
      <c r="F22" s="50"/>
      <c r="G22" s="50"/>
      <c r="I22" s="517" t="str">
        <f ca="1">IF(ROW(I22)-ROW(L$5)&gt;MAX(RRE!$V$13:$V$15),"",INDEX(RRE!$J$13:$J$15,MATCH(ROW(I22)-ROW(I$5),RRE!$V$13:$V$15,0)))</f>
        <v/>
      </c>
      <c r="J22" s="518" t="str">
        <f ca="1">IF(I22="","",SUMIF(RRE!$J$13:$J$15,OFÍCIO!$I22,RRE!$L$13:$L$15))</f>
        <v/>
      </c>
      <c r="K22" s="518" t="str">
        <f ca="1">IF(J22="","",SUMIF(RRE!$J$13:$J$15,OFÍCIO!$I22,RRE!$N$13:$N$15))</f>
        <v/>
      </c>
      <c r="L22" s="519" t="str">
        <f ca="1">IF(K22="","",SUMIF(RRE!$J$13:$J$15,OFÍCIO!$I22,RRE!$O$13:$O$15))</f>
        <v/>
      </c>
    </row>
    <row r="23" spans="2:12" x14ac:dyDescent="0.2">
      <c r="B23" s="50"/>
      <c r="C23" s="50"/>
      <c r="D23" s="50"/>
      <c r="E23" s="50"/>
      <c r="F23" s="50"/>
      <c r="G23" s="50"/>
      <c r="I23" s="517" t="str">
        <f ca="1">IF(ROW(I23)-ROW(L$5)&gt;MAX(RRE!$V$13:$V$15),"",INDEX(RRE!$J$13:$J$15,MATCH(ROW(I23)-ROW(I$5),RRE!$V$13:$V$15,0)))</f>
        <v/>
      </c>
      <c r="J23" s="518" t="str">
        <f ca="1">IF(I23="","",SUMIF(RRE!$J$13:$J$15,OFÍCIO!$I23,RRE!$L$13:$L$15))</f>
        <v/>
      </c>
      <c r="K23" s="518" t="str">
        <f ca="1">IF(J23="","",SUMIF(RRE!$J$13:$J$15,OFÍCIO!$I23,RRE!$N$13:$N$15))</f>
        <v/>
      </c>
      <c r="L23" s="519" t="str">
        <f ca="1">IF(K23="","",SUMIF(RRE!$J$13:$J$15,OFÍCIO!$I23,RRE!$O$13:$O$15))</f>
        <v/>
      </c>
    </row>
    <row r="24" spans="2:12" ht="12.75" customHeight="1" x14ac:dyDescent="0.2">
      <c r="B24" s="729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729"/>
      <c r="D24" s="729"/>
      <c r="E24" s="729"/>
      <c r="F24" s="729"/>
      <c r="G24" s="729"/>
      <c r="I24" s="517" t="str">
        <f ca="1">IF(ROW(I24)-ROW(L$5)&gt;MAX(RRE!$V$13:$V$15),"",INDEX(RRE!$J$13:$J$15,MATCH(ROW(I24)-ROW(I$5),RRE!$V$13:$V$15,0)))</f>
        <v/>
      </c>
      <c r="J24" s="518" t="str">
        <f ca="1">IF(I24="","",SUMIF(RRE!$J$13:$J$15,OFÍCIO!$I24,RRE!$L$13:$L$15))</f>
        <v/>
      </c>
      <c r="K24" s="518" t="str">
        <f ca="1">IF(J24="","",SUMIF(RRE!$J$13:$J$15,OFÍCIO!$I24,RRE!$N$13:$N$15))</f>
        <v/>
      </c>
      <c r="L24" s="519" t="str">
        <f ca="1">IF(K24="","",SUMIF(RRE!$J$13:$J$15,OFÍCIO!$I24,RRE!$O$13:$O$15))</f>
        <v/>
      </c>
    </row>
    <row r="25" spans="2:12" x14ac:dyDescent="0.2">
      <c r="B25" s="729"/>
      <c r="C25" s="729"/>
      <c r="D25" s="729"/>
      <c r="E25" s="729"/>
      <c r="F25" s="729"/>
      <c r="G25" s="729"/>
      <c r="I25" s="517" t="str">
        <f ca="1">IF(ROW(I25)-ROW(L$5)&gt;MAX(RRE!$V$13:$V$15),"",INDEX(RRE!$J$13:$J$15,MATCH(ROW(I25)-ROW(I$5),RRE!$V$13:$V$15,0)))</f>
        <v/>
      </c>
      <c r="J25" s="518" t="str">
        <f ca="1">IF(I25="","",SUMIF(RRE!$J$13:$J$15,OFÍCIO!$I25,RRE!$L$13:$L$15))</f>
        <v/>
      </c>
      <c r="K25" s="518" t="str">
        <f ca="1">IF(J25="","",SUMIF(RRE!$J$13:$J$15,OFÍCIO!$I25,RRE!$N$13:$N$15))</f>
        <v/>
      </c>
      <c r="L25" s="519" t="str">
        <f ca="1">IF(K25="","",SUMIF(RRE!$J$13:$J$15,OFÍCIO!$I25,RRE!$O$13:$O$15))</f>
        <v/>
      </c>
    </row>
    <row r="26" spans="2:12" x14ac:dyDescent="0.2">
      <c r="B26" s="729"/>
      <c r="C26" s="729"/>
      <c r="D26" s="729"/>
      <c r="E26" s="729"/>
      <c r="F26" s="729"/>
      <c r="G26" s="729"/>
      <c r="I26" s="517" t="str">
        <f ca="1">IF(ROW(I26)-ROW(L$5)&gt;MAX(RRE!$V$13:$V$15),"",INDEX(RRE!$J$13:$J$15,MATCH(ROW(I26)-ROW(I$5),RRE!$V$13:$V$15,0)))</f>
        <v/>
      </c>
      <c r="J26" s="518" t="str">
        <f ca="1">IF(I26="","",SUMIF(RRE!$J$13:$J$15,OFÍCIO!$I26,RRE!$L$13:$L$15))</f>
        <v/>
      </c>
      <c r="K26" s="518" t="str">
        <f ca="1">IF(J26="","",SUMIF(RRE!$J$13:$J$15,OFÍCIO!$I26,RRE!$N$13:$N$15))</f>
        <v/>
      </c>
      <c r="L26" s="519" t="str">
        <f ca="1">IF(K26="","",SUMIF(RRE!$J$13:$J$15,OFÍCIO!$I26,RRE!$O$13:$O$15))</f>
        <v/>
      </c>
    </row>
    <row r="27" spans="2:12" x14ac:dyDescent="0.2">
      <c r="B27" s="50"/>
      <c r="C27" s="50"/>
      <c r="D27" s="50"/>
      <c r="E27" s="50"/>
      <c r="F27" s="50"/>
      <c r="G27" s="50"/>
      <c r="I27" s="517" t="str">
        <f ca="1">IF(ROW(I27)-ROW(L$5)&gt;MAX(RRE!$V$13:$V$15),"",INDEX(RRE!$J$13:$J$15,MATCH(ROW(I27)-ROW(I$5),RRE!$V$13:$V$15,0)))</f>
        <v/>
      </c>
      <c r="J27" s="518" t="str">
        <f ca="1">IF(I27="","",SUMIF(RRE!$J$13:$J$15,OFÍCIO!$I27,RRE!$L$13:$L$15))</f>
        <v/>
      </c>
      <c r="K27" s="518" t="str">
        <f ca="1">IF(J27="","",SUMIF(RRE!$J$13:$J$15,OFÍCIO!$I27,RRE!$N$13:$N$15))</f>
        <v/>
      </c>
      <c r="L27" s="519" t="str">
        <f ca="1">IF(K27="","",SUMIF(RRE!$J$13:$J$15,OFÍCIO!$I27,RRE!$O$13:$O$15))</f>
        <v/>
      </c>
    </row>
    <row r="28" spans="2:12" ht="12.75" customHeight="1" x14ac:dyDescent="0.2">
      <c r="B28" s="730"/>
      <c r="C28" s="730"/>
      <c r="D28" s="734" t="s">
        <v>397</v>
      </c>
      <c r="E28" s="734" t="str">
        <f ca="1">"Evolução da "&amp;RRE.Numero&amp;"ª Medição"</f>
        <v>Evolução da 1ª Medição</v>
      </c>
      <c r="F28" s="735" t="s">
        <v>398</v>
      </c>
      <c r="G28" s="735"/>
      <c r="I28" s="517" t="str">
        <f ca="1">IF(ROW(I28)-ROW(L$5)&gt;MAX(RRE!$V$13:$V$15),"",INDEX(RRE!$J$13:$J$15,MATCH(ROW(I28)-ROW(I$5),RRE!$V$13:$V$15,0)))</f>
        <v/>
      </c>
      <c r="J28" s="518" t="str">
        <f ca="1">IF(I28="","",SUMIF(RRE!$J$13:$J$15,OFÍCIO!$I28,RRE!$L$13:$L$15))</f>
        <v/>
      </c>
      <c r="K28" s="518" t="str">
        <f ca="1">IF(J28="","",SUMIF(RRE!$J$13:$J$15,OFÍCIO!$I28,RRE!$N$13:$N$15))</f>
        <v/>
      </c>
      <c r="L28" s="519" t="str">
        <f ca="1">IF(K28="","",SUMIF(RRE!$J$13:$J$15,OFÍCIO!$I28,RRE!$O$13:$O$15))</f>
        <v/>
      </c>
    </row>
    <row r="29" spans="2:12" x14ac:dyDescent="0.2">
      <c r="B29" s="730"/>
      <c r="C29" s="730"/>
      <c r="D29" s="734"/>
      <c r="E29" s="734"/>
      <c r="F29" s="735"/>
      <c r="G29" s="735"/>
      <c r="I29" s="517" t="str">
        <f ca="1">IF(ROW(I29)-ROW(L$5)&gt;MAX(RRE!$V$13:$V$15),"",INDEX(RRE!$J$13:$J$15,MATCH(ROW(I29)-ROW(I$5),RRE!$V$13:$V$15,0)))</f>
        <v/>
      </c>
      <c r="J29" s="518" t="str">
        <f ca="1">IF(I29="","",SUMIF(RRE!$J$13:$J$15,OFÍCIO!$I29,RRE!$L$13:$L$15))</f>
        <v/>
      </c>
      <c r="K29" s="518" t="str">
        <f ca="1">IF(J29="","",SUMIF(RRE!$J$13:$J$15,OFÍCIO!$I29,RRE!$N$13:$N$15))</f>
        <v/>
      </c>
      <c r="L29" s="519" t="str">
        <f ca="1">IF(K29="","",SUMIF(RRE!$J$13:$J$15,OFÍCIO!$I29,RRE!$O$13:$O$15))</f>
        <v/>
      </c>
    </row>
    <row r="30" spans="2:12" x14ac:dyDescent="0.2">
      <c r="B30" s="736" t="str">
        <f>IF(import.recurso="FGTS","Financiamento:","Repasse:")</f>
        <v>Repasse:</v>
      </c>
      <c r="C30" s="736"/>
      <c r="D30" s="448">
        <f ca="1">RRE!L16</f>
        <v>0</v>
      </c>
      <c r="E30" s="448" t="e">
        <f ca="1">RRE!N16</f>
        <v>#DIV/0!</v>
      </c>
      <c r="F30" s="737" t="e">
        <f ca="1">RRE!O16</f>
        <v>#DIV/0!</v>
      </c>
      <c r="G30" s="737"/>
      <c r="I30" s="517" t="str">
        <f ca="1">IF(ROW(I30)-ROW(L$5)&gt;MAX(RRE!$V$13:$V$15),"",INDEX(RRE!$J$13:$J$15,MATCH(ROW(I30)-ROW(I$5),RRE!$V$13:$V$15,0)))</f>
        <v/>
      </c>
      <c r="J30" s="518" t="str">
        <f ca="1">IF(I30="","",SUMIF(RRE!$J$13:$J$15,OFÍCIO!$I30,RRE!$L$13:$L$15))</f>
        <v/>
      </c>
      <c r="K30" s="518" t="str">
        <f ca="1">IF(J30="","",SUMIF(RRE!$J$13:$J$15,OFÍCIO!$I30,RRE!$N$13:$N$15))</f>
        <v/>
      </c>
      <c r="L30" s="519" t="str">
        <f ca="1">IF(K30="","",SUMIF(RRE!$J$13:$J$15,OFÍCIO!$I30,RRE!$O$13:$O$15))</f>
        <v/>
      </c>
    </row>
    <row r="31" spans="2:12" x14ac:dyDescent="0.2">
      <c r="B31" s="736" t="s">
        <v>399</v>
      </c>
      <c r="C31" s="736"/>
      <c r="D31" s="448">
        <f ca="1">RRE!L17</f>
        <v>0</v>
      </c>
      <c r="E31" s="448" t="e">
        <f ca="1">RRE!N17</f>
        <v>#DIV/0!</v>
      </c>
      <c r="F31" s="737" t="e">
        <f ca="1">RRE!O17</f>
        <v>#DIV/0!</v>
      </c>
      <c r="G31" s="737"/>
      <c r="I31" s="517" t="str">
        <f ca="1">IF(ROW(I31)-ROW(L$5)&gt;MAX(RRE!$V$13:$V$15),"",INDEX(RRE!$J$13:$J$15,MATCH(ROW(I31)-ROW(I$5),RRE!$V$13:$V$15,0)))</f>
        <v/>
      </c>
      <c r="J31" s="518" t="str">
        <f ca="1">IF(I31="","",SUMIF(RRE!$J$13:$J$15,OFÍCIO!$I31,RRE!$L$13:$L$15))</f>
        <v/>
      </c>
      <c r="K31" s="518" t="str">
        <f ca="1">IF(J31="","",SUMIF(RRE!$J$13:$J$15,OFÍCIO!$I31,RRE!$N$13:$N$15))</f>
        <v/>
      </c>
      <c r="L31" s="519" t="str">
        <f ca="1">IF(K31="","",SUMIF(RRE!$J$13:$J$15,OFÍCIO!$I31,RRE!$O$13:$O$15))</f>
        <v/>
      </c>
    </row>
    <row r="32" spans="2:12" x14ac:dyDescent="0.2">
      <c r="B32" s="736" t="s">
        <v>287</v>
      </c>
      <c r="C32" s="736"/>
      <c r="D32" s="448">
        <f ca="1">RRE!L18</f>
        <v>0</v>
      </c>
      <c r="E32" s="448" t="e">
        <f ca="1">RRE!N18</f>
        <v>#DIV/0!</v>
      </c>
      <c r="F32" s="737" t="e">
        <f ca="1">RRE!O18</f>
        <v>#DIV/0!</v>
      </c>
      <c r="G32" s="737"/>
      <c r="I32" s="517" t="str">
        <f ca="1">IF(ROW(I32)-ROW(L$5)&gt;MAX(RRE!$V$13:$V$15),"",INDEX(RRE!$J$13:$J$15,MATCH(ROW(I32)-ROW(I$5),RRE!$V$13:$V$15,0)))</f>
        <v/>
      </c>
      <c r="J32" s="518" t="str">
        <f ca="1">IF(I32="","",SUMIF(RRE!$J$13:$J$15,OFÍCIO!$I32,RRE!$L$13:$L$15))</f>
        <v/>
      </c>
      <c r="K32" s="518" t="str">
        <f ca="1">IF(J32="","",SUMIF(RRE!$J$13:$J$15,OFÍCIO!$I32,RRE!$N$13:$N$15))</f>
        <v/>
      </c>
      <c r="L32" s="519" t="str">
        <f ca="1">IF(K32="","",SUMIF(RRE!$J$13:$J$15,OFÍCIO!$I32,RRE!$O$13:$O$15))</f>
        <v/>
      </c>
    </row>
    <row r="33" spans="2:12" x14ac:dyDescent="0.2">
      <c r="B33" s="736" t="s">
        <v>288</v>
      </c>
      <c r="C33" s="736"/>
      <c r="D33" s="448">
        <f ca="1">RRE!L19</f>
        <v>0</v>
      </c>
      <c r="E33" s="448" t="e">
        <f ca="1">RRE!N19</f>
        <v>#DIV/0!</v>
      </c>
      <c r="F33" s="737" t="e">
        <f ca="1">RRE!O19</f>
        <v>#DIV/0!</v>
      </c>
      <c r="G33" s="737"/>
      <c r="I33" s="517" t="str">
        <f ca="1">IF(ROW(I33)-ROW(L$5)&gt;MAX(RRE!$V$13:$V$15),"",INDEX(RRE!$J$13:$J$15,MATCH(ROW(I33)-ROW(I$5),RRE!$V$13:$V$15,0)))</f>
        <v/>
      </c>
      <c r="J33" s="518" t="str">
        <f ca="1">IF(I33="","",SUMIF(RRE!$J$13:$J$15,OFÍCIO!$I33,RRE!$L$13:$L$15))</f>
        <v/>
      </c>
      <c r="K33" s="518" t="str">
        <f ca="1">IF(J33="","",SUMIF(RRE!$J$13:$J$15,OFÍCIO!$I33,RRE!$N$13:$N$15))</f>
        <v/>
      </c>
      <c r="L33" s="519" t="str">
        <f ca="1">IF(K33="","",SUMIF(RRE!$J$13:$J$15,OFÍCIO!$I33,RRE!$O$13:$O$15))</f>
        <v/>
      </c>
    </row>
    <row r="34" spans="2:12" x14ac:dyDescent="0.2">
      <c r="B34" s="740" t="s">
        <v>400</v>
      </c>
      <c r="C34" s="740"/>
      <c r="D34" s="449" t="s">
        <v>168</v>
      </c>
      <c r="E34" s="450" t="e">
        <f ca="1">RRE!$N$19/(RRE!$L$19+10^-12)</f>
        <v>#DIV/0!</v>
      </c>
      <c r="F34" s="741" t="e">
        <f ca="1">RRE!P15</f>
        <v>#DIV/0!</v>
      </c>
      <c r="G34" s="741"/>
      <c r="I34" s="517" t="str">
        <f ca="1">IF(ROW(I34)-ROW(L$5)&gt;MAX(RRE!$V$13:$V$15),"",INDEX(RRE!$J$13:$J$15,MATCH(ROW(I34)-ROW(I$5),RRE!$V$13:$V$15,0)))</f>
        <v/>
      </c>
      <c r="J34" s="518" t="str">
        <f ca="1">IF(I34="","",SUMIF(RRE!$J$13:$J$15,OFÍCIO!$I34,RRE!$L$13:$L$15))</f>
        <v/>
      </c>
      <c r="K34" s="518" t="str">
        <f ca="1">IF(J34="","",SUMIF(RRE!$J$13:$J$15,OFÍCIO!$I34,RRE!$N$13:$N$15))</f>
        <v/>
      </c>
      <c r="L34" s="519" t="str">
        <f ca="1">IF(K34="","",SUMIF(RRE!$J$13:$J$15,OFÍCIO!$I34,RRE!$O$13:$O$15))</f>
        <v/>
      </c>
    </row>
    <row r="35" spans="2:12" x14ac:dyDescent="0.2">
      <c r="B35" s="194"/>
      <c r="C35" s="50"/>
      <c r="D35" s="50"/>
      <c r="E35" s="50"/>
      <c r="F35" s="50"/>
      <c r="G35" s="50"/>
      <c r="I35" s="517" t="str">
        <f ca="1">IF(ROW(I35)-ROW(L$5)&gt;MAX(RRE!$V$13:$V$15),"",INDEX(RRE!$J$13:$J$15,MATCH(ROW(I35)-ROW(I$5),RRE!$V$13:$V$15,0)))</f>
        <v/>
      </c>
      <c r="J35" s="518" t="str">
        <f ca="1">IF(I35="","",SUMIF(RRE!$J$13:$J$15,OFÍCIO!$I35,RRE!$L$13:$L$15))</f>
        <v/>
      </c>
      <c r="K35" s="518" t="str">
        <f ca="1">IF(J35="","",SUMIF(RRE!$J$13:$J$15,OFÍCIO!$I35,RRE!$N$13:$N$15))</f>
        <v/>
      </c>
      <c r="L35" s="519" t="str">
        <f ca="1">IF(K35="","",SUMIF(RRE!$J$13:$J$15,OFÍCIO!$I35,RRE!$O$13:$O$15))</f>
        <v/>
      </c>
    </row>
    <row r="36" spans="2:12" x14ac:dyDescent="0.2">
      <c r="B36" s="194"/>
      <c r="C36" s="194"/>
      <c r="D36" s="194"/>
      <c r="E36" s="194"/>
      <c r="F36" s="194"/>
      <c r="G36" s="50"/>
      <c r="I36" s="517" t="str">
        <f ca="1">IF(ROW(I36)-ROW(L$5)&gt;MAX(RRE!$V$13:$V$15),"",INDEX(RRE!$J$13:$J$15,MATCH(ROW(I36)-ROW(I$5),RRE!$V$13:$V$15,0)))</f>
        <v/>
      </c>
      <c r="J36" s="518" t="str">
        <f ca="1">IF(I36="","",SUMIF(RRE!$J$13:$J$15,OFÍCIO!$I36,RRE!$L$13:$L$15))</f>
        <v/>
      </c>
      <c r="K36" s="518" t="str">
        <f ca="1">IF(J36="","",SUMIF(RRE!$J$13:$J$15,OFÍCIO!$I36,RRE!$N$13:$N$15))</f>
        <v/>
      </c>
      <c r="L36" s="519" t="str">
        <f ca="1">IF(K36="","",SUMIF(RRE!$J$13:$J$15,OFÍCIO!$I36,RRE!$O$13:$O$15))</f>
        <v/>
      </c>
    </row>
    <row r="37" spans="2:12" x14ac:dyDescent="0.2">
      <c r="B37" s="742" t="str">
        <f ca="1">IF(RRE.Numero&gt;1,"2. Encaminhamos ainda a documentação relativa à prestação de contas da etapa físico-financeira anterior.","")</f>
        <v/>
      </c>
      <c r="C37" s="742"/>
      <c r="D37" s="742"/>
      <c r="E37" s="742"/>
      <c r="F37" s="742"/>
      <c r="G37" s="742"/>
      <c r="I37" s="517" t="str">
        <f ca="1">IF(ROW(I37)-ROW(L$5)&gt;MAX(RRE!$V$13:$V$15),"",INDEX(RRE!$J$13:$J$15,MATCH(ROW(I37)-ROW(I$5),RRE!$V$13:$V$15,0)))</f>
        <v/>
      </c>
      <c r="J37" s="518" t="str">
        <f ca="1">IF(I37="","",SUMIF(RRE!$J$13:$J$15,OFÍCIO!$I37,RRE!$L$13:$L$15))</f>
        <v/>
      </c>
      <c r="K37" s="518" t="str">
        <f ca="1">IF(J37="","",SUMIF(RRE!$J$13:$J$15,OFÍCIO!$I37,RRE!$N$13:$N$15))</f>
        <v/>
      </c>
      <c r="L37" s="519" t="str">
        <f ca="1">IF(K37="","",SUMIF(RRE!$J$13:$J$15,OFÍCIO!$I37,RRE!$O$13:$O$15))</f>
        <v/>
      </c>
    </row>
    <row r="38" spans="2:12" x14ac:dyDescent="0.2">
      <c r="B38" s="742"/>
      <c r="C38" s="742"/>
      <c r="D38" s="742"/>
      <c r="E38" s="742"/>
      <c r="F38" s="742"/>
      <c r="G38" s="742"/>
      <c r="I38" s="517" t="str">
        <f ca="1">IF(ROW(I38)-ROW(L$5)&gt;MAX(RRE!$V$13:$V$15),"",INDEX(RRE!$J$13:$J$15,MATCH(ROW(I38)-ROW(I$5),RRE!$V$13:$V$15,0)))</f>
        <v/>
      </c>
      <c r="J38" s="518" t="str">
        <f ca="1">IF(I38="","",SUMIF(RRE!$J$13:$J$15,OFÍCIO!$I38,RRE!$L$13:$L$15))</f>
        <v/>
      </c>
      <c r="K38" s="518" t="str">
        <f ca="1">IF(J38="","",SUMIF(RRE!$J$13:$J$15,OFÍCIO!$I38,RRE!$N$13:$N$15))</f>
        <v/>
      </c>
      <c r="L38" s="519" t="str">
        <f ca="1">IF(K38="","",SUMIF(RRE!$J$13:$J$15,OFÍCIO!$I38,RRE!$O$13:$O$15))</f>
        <v/>
      </c>
    </row>
    <row r="39" spans="2:12" ht="12.75" customHeight="1" x14ac:dyDescent="0.2">
      <c r="B39" s="742" t="str">
        <f ca="1">IF(AND(RRE.Numero&gt;1,NOT(ISBLANK(Import.SICONV))),"3. Na oportunidade, informamos que a execução financeira da parcela anterior está devidamente comprovada no SICONV.","")</f>
        <v/>
      </c>
      <c r="C39" s="742"/>
      <c r="D39" s="742"/>
      <c r="E39" s="742"/>
      <c r="F39" s="742"/>
      <c r="G39" s="742"/>
      <c r="I39" s="517" t="str">
        <f ca="1">IF(ROW(I39)-ROW(L$5)&gt;MAX(RRE!$V$13:$V$15),"",INDEX(RRE!$J$13:$J$15,MATCH(ROW(I39)-ROW(I$5),RRE!$V$13:$V$15,0)))</f>
        <v/>
      </c>
      <c r="J39" s="518" t="str">
        <f ca="1">IF(I39="","",SUMIF(RRE!$J$13:$J$15,OFÍCIO!$I39,RRE!$L$13:$L$15))</f>
        <v/>
      </c>
      <c r="K39" s="518" t="str">
        <f ca="1">IF(J39="","",SUMIF(RRE!$J$13:$J$15,OFÍCIO!$I39,RRE!$N$13:$N$15))</f>
        <v/>
      </c>
      <c r="L39" s="519" t="str">
        <f ca="1">IF(K39="","",SUMIF(RRE!$J$13:$J$15,OFÍCIO!$I39,RRE!$O$13:$O$15))</f>
        <v/>
      </c>
    </row>
    <row r="40" spans="2:12" x14ac:dyDescent="0.2">
      <c r="B40" s="742"/>
      <c r="C40" s="742"/>
      <c r="D40" s="742"/>
      <c r="E40" s="742"/>
      <c r="F40" s="742"/>
      <c r="G40" s="742"/>
      <c r="I40" s="517" t="str">
        <f ca="1">IF(ROW(I40)-ROW(L$5)&gt;MAX(RRE!$V$13:$V$15),"",INDEX(RRE!$J$13:$J$15,MATCH(ROW(I40)-ROW(I$5),RRE!$V$13:$V$15,0)))</f>
        <v/>
      </c>
      <c r="J40" s="518" t="str">
        <f ca="1">IF(I40="","",SUMIF(RRE!$J$13:$J$15,OFÍCIO!$I40,RRE!$L$13:$L$15))</f>
        <v/>
      </c>
      <c r="K40" s="518" t="str">
        <f ca="1">IF(J40="","",SUMIF(RRE!$J$13:$J$15,OFÍCIO!$I40,RRE!$N$13:$N$15))</f>
        <v/>
      </c>
      <c r="L40" s="519" t="str">
        <f ca="1">IF(K40="","",SUMIF(RRE!$J$13:$J$15,OFÍCIO!$I40,RRE!$O$13:$O$15))</f>
        <v/>
      </c>
    </row>
    <row r="41" spans="2:12" x14ac:dyDescent="0.2">
      <c r="B41" s="451"/>
      <c r="C41" s="446"/>
      <c r="D41" s="446"/>
      <c r="E41" s="446"/>
      <c r="F41" s="446"/>
      <c r="G41" s="446"/>
      <c r="I41" s="517" t="str">
        <f ca="1">IF(ROW(I41)-ROW(L$5)&gt;MAX(RRE!$V$13:$V$15),"",INDEX(RRE!$J$13:$J$15,MATCH(ROW(I41)-ROW(I$5),RRE!$V$13:$V$15,0)))</f>
        <v/>
      </c>
      <c r="J41" s="518" t="str">
        <f ca="1">IF(I41="","",SUMIF(RRE!$J$13:$J$15,OFÍCIO!$I41,RRE!$L$13:$L$15))</f>
        <v/>
      </c>
      <c r="K41" s="518" t="str">
        <f ca="1">IF(J41="","",SUMIF(RRE!$J$13:$J$15,OFÍCIO!$I41,RRE!$N$13:$N$15))</f>
        <v/>
      </c>
      <c r="L41" s="519" t="str">
        <f ca="1">IF(K41="","",SUMIF(RRE!$J$13:$J$15,OFÍCIO!$I41,RRE!$O$13:$O$15))</f>
        <v/>
      </c>
    </row>
    <row r="42" spans="2:12" ht="12.75" customHeight="1" x14ac:dyDescent="0.2">
      <c r="B42" s="742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742"/>
      <c r="D42" s="742"/>
      <c r="E42" s="742"/>
      <c r="F42" s="742"/>
      <c r="G42" s="742"/>
      <c r="I42" s="517" t="str">
        <f ca="1">IF(ROW(I42)-ROW(L$5)&gt;MAX(RRE!$V$13:$V$15),"",INDEX(RRE!$J$13:$J$15,MATCH(ROW(I42)-ROW(I$5),RRE!$V$13:$V$15,0)))</f>
        <v/>
      </c>
      <c r="J42" s="518" t="str">
        <f ca="1">IF(I42="","",SUMIF(RRE!$J$13:$J$15,OFÍCIO!$I42,RRE!$L$13:$L$15))</f>
        <v/>
      </c>
      <c r="K42" s="518" t="str">
        <f ca="1">IF(J42="","",SUMIF(RRE!$J$13:$J$15,OFÍCIO!$I42,RRE!$N$13:$N$15))</f>
        <v/>
      </c>
      <c r="L42" s="519" t="str">
        <f ca="1">IF(K42="","",SUMIF(RRE!$J$13:$J$15,OFÍCIO!$I42,RRE!$O$13:$O$15))</f>
        <v/>
      </c>
    </row>
    <row r="43" spans="2:12" x14ac:dyDescent="0.2">
      <c r="B43" s="742"/>
      <c r="C43" s="742"/>
      <c r="D43" s="742"/>
      <c r="E43" s="742"/>
      <c r="F43" s="742"/>
      <c r="G43" s="742"/>
      <c r="I43" s="517" t="str">
        <f ca="1">IF(ROW(I43)-ROW(L$5)&gt;MAX(RRE!$V$13:$V$15),"",INDEX(RRE!$J$13:$J$15,MATCH(ROW(I43)-ROW(I$5),RRE!$V$13:$V$15,0)))</f>
        <v/>
      </c>
      <c r="J43" s="518" t="str">
        <f ca="1">IF(I43="","",SUMIF(RRE!$J$13:$J$15,OFÍCIO!$I43,RRE!$L$13:$L$15))</f>
        <v/>
      </c>
      <c r="K43" s="518" t="str">
        <f ca="1">IF(J43="","",SUMIF(RRE!$J$13:$J$15,OFÍCIO!$I43,RRE!$N$13:$N$15))</f>
        <v/>
      </c>
      <c r="L43" s="519" t="str">
        <f ca="1">IF(K43="","",SUMIF(RRE!$J$13:$J$15,OFÍCIO!$I43,RRE!$O$13:$O$15))</f>
        <v/>
      </c>
    </row>
    <row r="44" spans="2:12" x14ac:dyDescent="0.2">
      <c r="B44" s="742"/>
      <c r="C44" s="742"/>
      <c r="D44" s="742"/>
      <c r="E44" s="742"/>
      <c r="F44" s="742"/>
      <c r="G44" s="742"/>
      <c r="I44" s="517" t="str">
        <f ca="1">IF(ROW(I44)-ROW(L$5)&gt;MAX(RRE!$V$13:$V$15),"",INDEX(RRE!$J$13:$J$15,MATCH(ROW(I44)-ROW(I$5),RRE!$V$13:$V$15,0)))</f>
        <v/>
      </c>
      <c r="J44" s="518" t="str">
        <f ca="1">IF(I44="","",SUMIF(RRE!$J$13:$J$15,OFÍCIO!$I44,RRE!$L$13:$L$15))</f>
        <v/>
      </c>
      <c r="K44" s="518" t="str">
        <f ca="1">IF(J44="","",SUMIF(RRE!$J$13:$J$15,OFÍCIO!$I44,RRE!$N$13:$N$15))</f>
        <v/>
      </c>
      <c r="L44" s="519" t="str">
        <f ca="1">IF(K44="","",SUMIF(RRE!$J$13:$J$15,OFÍCIO!$I44,RRE!$O$13:$O$15))</f>
        <v/>
      </c>
    </row>
    <row r="45" spans="2:12" x14ac:dyDescent="0.2">
      <c r="B45" s="742"/>
      <c r="C45" s="742"/>
      <c r="D45" s="742"/>
      <c r="E45" s="742"/>
      <c r="F45" s="742"/>
      <c r="G45" s="742"/>
      <c r="I45" s="517" t="str">
        <f ca="1">IF(ROW(I45)-ROW(L$5)&gt;MAX(RRE!$V$13:$V$15),"",INDEX(RRE!$J$13:$J$15,MATCH(ROW(I45)-ROW(I$5),RRE!$V$13:$V$15,0)))</f>
        <v/>
      </c>
      <c r="J45" s="518" t="str">
        <f ca="1">IF(I45="","",SUMIF(RRE!$J$13:$J$15,OFÍCIO!$I45,RRE!$L$13:$L$15))</f>
        <v/>
      </c>
      <c r="K45" s="518" t="str">
        <f ca="1">IF(J45="","",SUMIF(RRE!$J$13:$J$15,OFÍCIO!$I45,RRE!$N$13:$N$15))</f>
        <v/>
      </c>
      <c r="L45" s="519" t="str">
        <f ca="1">IF(K45="","",SUMIF(RRE!$J$13:$J$15,OFÍCIO!$I45,RRE!$O$13:$O$15))</f>
        <v/>
      </c>
    </row>
    <row r="46" spans="2:12" ht="13.5" thickBot="1" x14ac:dyDescent="0.25">
      <c r="B46" s="742"/>
      <c r="C46" s="742"/>
      <c r="D46" s="742"/>
      <c r="E46" s="742"/>
      <c r="F46" s="742"/>
      <c r="G46" s="742"/>
      <c r="I46" s="520" t="str">
        <f ca="1">IF(ROW(I46)-ROW(L$5)&gt;MAX(RRE!$V$13:$V$15),"",INDEX(RRE!$J$13:$J$15,MATCH(ROW(I46)-ROW(I$5),RRE!$V$13:$V$15,0)))</f>
        <v/>
      </c>
      <c r="J46" s="521" t="str">
        <f ca="1">IF(I46="","",SUMIF(RRE!$J$13:$J$15,OFÍCIO!$I46,RRE!$L$13:$L$15))</f>
        <v/>
      </c>
      <c r="K46" s="521" t="str">
        <f ca="1">IF(J46="","",SUMIF(RRE!$J$13:$J$15,OFÍCIO!$I46,RRE!$N$13:$N$15))</f>
        <v/>
      </c>
      <c r="L46" s="522" t="str">
        <f ca="1">IF(K46="","",SUMIF(RRE!$J$13:$J$15,OFÍCIO!$I46,RRE!$O$13:$O$15))</f>
        <v/>
      </c>
    </row>
    <row r="47" spans="2:12" x14ac:dyDescent="0.2">
      <c r="G47" s="317"/>
    </row>
    <row r="48" spans="2:12" x14ac:dyDescent="0.2">
      <c r="G48" s="317"/>
    </row>
    <row r="49" spans="2:7" x14ac:dyDescent="0.2">
      <c r="B49" s="50" t="s">
        <v>401</v>
      </c>
      <c r="G49" s="317"/>
    </row>
    <row r="50" spans="2:7" x14ac:dyDescent="0.2">
      <c r="B50" s="317"/>
      <c r="C50" s="317"/>
      <c r="D50" s="317"/>
      <c r="E50" s="317"/>
      <c r="F50" s="317"/>
      <c r="G50" s="317"/>
    </row>
    <row r="51" spans="2:7" x14ac:dyDescent="0.2">
      <c r="B51" s="50"/>
      <c r="C51" s="50"/>
      <c r="D51" s="50"/>
      <c r="E51" s="50"/>
      <c r="F51" s="50"/>
      <c r="G51" s="50"/>
    </row>
    <row r="52" spans="2:7" x14ac:dyDescent="0.2">
      <c r="B52" s="50"/>
      <c r="C52" s="50"/>
      <c r="D52" s="50"/>
      <c r="E52" s="50"/>
      <c r="F52" s="50"/>
      <c r="G52" s="50"/>
    </row>
    <row r="53" spans="2:7" x14ac:dyDescent="0.2">
      <c r="B53" s="452"/>
      <c r="C53" s="452"/>
      <c r="D53" s="452"/>
      <c r="E53" s="50"/>
      <c r="F53" s="50"/>
      <c r="G53" s="50"/>
    </row>
    <row r="54" spans="2:7" x14ac:dyDescent="0.2">
      <c r="B54" s="738" t="str">
        <f>DADOS!$F$28</f>
        <v>Giovani Amestoy da Silva</v>
      </c>
      <c r="C54" s="738"/>
      <c r="D54" s="738"/>
      <c r="E54" s="738"/>
      <c r="F54" s="738"/>
      <c r="G54" s="738"/>
    </row>
    <row r="55" spans="2:7" x14ac:dyDescent="0.2">
      <c r="B55" s="738" t="str">
        <f>DADOS!$F$29</f>
        <v>Prefeito Municipal</v>
      </c>
      <c r="C55" s="738"/>
      <c r="D55" s="738"/>
      <c r="E55" s="738"/>
      <c r="F55" s="738"/>
      <c r="G55" s="738"/>
    </row>
    <row r="56" spans="2:7" x14ac:dyDescent="0.2">
      <c r="B56" s="739"/>
      <c r="C56" s="739"/>
      <c r="D56" s="739"/>
      <c r="E56" s="739"/>
      <c r="F56" s="739"/>
      <c r="G56" s="739"/>
    </row>
  </sheetData>
  <sheetProtection password="BD1F" sheet="1" objects="1" scenarios="1" autoFilter="0"/>
  <mergeCells count="34">
    <mergeCell ref="B55:G56"/>
    <mergeCell ref="B33:C33"/>
    <mergeCell ref="F33:G33"/>
    <mergeCell ref="B34:C34"/>
    <mergeCell ref="F34:G34"/>
    <mergeCell ref="B37:G38"/>
    <mergeCell ref="B39:G40"/>
    <mergeCell ref="B42:G46"/>
    <mergeCell ref="B31:C31"/>
    <mergeCell ref="F31:G31"/>
    <mergeCell ref="B30:C30"/>
    <mergeCell ref="F30:G30"/>
    <mergeCell ref="B54:G54"/>
    <mergeCell ref="B32:C32"/>
    <mergeCell ref="F32:G32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L4:L5"/>
    <mergeCell ref="C6:D6"/>
    <mergeCell ref="B8:G8"/>
    <mergeCell ref="B10:D10"/>
    <mergeCell ref="B1:C4"/>
    <mergeCell ref="I4:I5"/>
    <mergeCell ref="J4:J5"/>
    <mergeCell ref="K4:K5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E1:AR60"/>
  <sheetViews>
    <sheetView showGridLines="0" zoomScale="90" zoomScaleNormal="90" workbookViewId="0">
      <pane ySplit="2" topLeftCell="A15" activePane="bottomLeft" state="frozen"/>
      <selection pane="bottomLeft" activeCell="AW32" sqref="AW32"/>
    </sheetView>
  </sheetViews>
  <sheetFormatPr defaultRowHeight="12.75" x14ac:dyDescent="0.2"/>
  <cols>
    <col min="5" max="5" width="42.7109375" style="3" customWidth="1"/>
    <col min="6" max="6" width="53.28515625" style="3" customWidth="1"/>
    <col min="10" max="10" width="14.28515625" hidden="1" customWidth="1"/>
    <col min="11" max="13" width="0" hidden="1" customWidth="1"/>
    <col min="14" max="14" width="0" style="7" hidden="1" customWidth="1"/>
    <col min="15" max="44" width="0" hidden="1" customWidth="1"/>
  </cols>
  <sheetData>
    <row r="1" spans="5:44" ht="15.75" customHeight="1" x14ac:dyDescent="0.2">
      <c r="E1" s="8" t="s">
        <v>5</v>
      </c>
      <c r="K1" s="9"/>
      <c r="L1" s="581" t="s">
        <v>6</v>
      </c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I1" s="581"/>
      <c r="AJ1" s="581"/>
      <c r="AK1" s="581"/>
      <c r="AL1" s="581"/>
      <c r="AM1" s="581"/>
      <c r="AN1" s="581"/>
      <c r="AO1" s="581"/>
      <c r="AP1" s="581"/>
      <c r="AQ1" s="581"/>
      <c r="AR1" s="581"/>
    </row>
    <row r="2" spans="5:44" ht="12.75" customHeight="1" x14ac:dyDescent="0.2">
      <c r="E2" s="8"/>
      <c r="J2" s="10" t="s">
        <v>7</v>
      </c>
      <c r="K2" s="11" t="s">
        <v>8</v>
      </c>
      <c r="L2" s="12">
        <f>COUNTA(K:K)-1</f>
        <v>3</v>
      </c>
      <c r="M2" s="11" t="s">
        <v>9</v>
      </c>
      <c r="N2" s="12">
        <f>COUNTA(M:M)-1</f>
        <v>6</v>
      </c>
      <c r="O2" s="11" t="s">
        <v>10</v>
      </c>
      <c r="P2" s="12">
        <f>COUNTA(O:O)-1</f>
        <v>6</v>
      </c>
      <c r="Q2" s="11" t="s">
        <v>11</v>
      </c>
      <c r="R2" s="12">
        <f>COUNTA(Q:Q)-1</f>
        <v>6</v>
      </c>
      <c r="S2" s="11" t="s">
        <v>12</v>
      </c>
      <c r="T2" s="12">
        <f>COUNTA(S:S)-1</f>
        <v>11</v>
      </c>
      <c r="U2" s="11" t="s">
        <v>13</v>
      </c>
      <c r="V2" s="12">
        <f>COUNTA(U:U)-1</f>
        <v>8</v>
      </c>
      <c r="W2" s="11" t="s">
        <v>14</v>
      </c>
      <c r="X2" s="12">
        <f>COUNTA(W:W)-1</f>
        <v>4</v>
      </c>
      <c r="Y2" s="11" t="s">
        <v>15</v>
      </c>
      <c r="Z2" s="12">
        <f>COUNTA(Y:Y)-1</f>
        <v>6</v>
      </c>
      <c r="AA2" s="11" t="s">
        <v>16</v>
      </c>
      <c r="AB2" s="12">
        <f>COUNTA(AA:AA)-1</f>
        <v>2</v>
      </c>
      <c r="AC2" s="11" t="s">
        <v>17</v>
      </c>
      <c r="AD2" s="12">
        <f>COUNTA(AC:AC)-1</f>
        <v>2</v>
      </c>
      <c r="AE2" s="11" t="s">
        <v>18</v>
      </c>
      <c r="AF2" s="12">
        <f>COUNTA(AE:AE)-1</f>
        <v>2</v>
      </c>
      <c r="AG2" s="11" t="s">
        <v>19</v>
      </c>
      <c r="AH2" s="12">
        <f>COUNTA(AG:AG)-1</f>
        <v>1</v>
      </c>
      <c r="AI2" s="11" t="s">
        <v>20</v>
      </c>
      <c r="AJ2" s="12">
        <f>COUNTA(AI:AI)-1</f>
        <v>1</v>
      </c>
      <c r="AK2" s="11" t="s">
        <v>21</v>
      </c>
      <c r="AL2" s="12">
        <f>COUNTA(AK:AK)-1</f>
        <v>1</v>
      </c>
      <c r="AM2" s="11" t="s">
        <v>22</v>
      </c>
      <c r="AN2" s="12">
        <f>COUNTA(AM:AM)-1</f>
        <v>3</v>
      </c>
      <c r="AO2" s="11" t="s">
        <v>23</v>
      </c>
      <c r="AP2" s="12">
        <f>COUNTA(AO:AO)-1</f>
        <v>1</v>
      </c>
      <c r="AQ2" s="11" t="s">
        <v>24</v>
      </c>
      <c r="AR2" s="12">
        <f>COUNTA(AQ:AQ)-1</f>
        <v>4</v>
      </c>
    </row>
    <row r="3" spans="5:44" ht="15" x14ac:dyDescent="0.2">
      <c r="E3" s="580" t="s">
        <v>25</v>
      </c>
      <c r="F3" s="580"/>
      <c r="J3" s="13" t="s">
        <v>8</v>
      </c>
      <c r="K3" t="s">
        <v>26</v>
      </c>
      <c r="L3" s="7" t="s">
        <v>27</v>
      </c>
      <c r="M3" s="13" t="s">
        <v>28</v>
      </c>
      <c r="N3" s="7" t="s">
        <v>29</v>
      </c>
      <c r="O3" t="s">
        <v>30</v>
      </c>
      <c r="P3" s="7" t="s">
        <v>29</v>
      </c>
      <c r="Q3" t="s">
        <v>31</v>
      </c>
      <c r="R3" s="7" t="s">
        <v>32</v>
      </c>
      <c r="S3" t="s">
        <v>33</v>
      </c>
      <c r="T3" s="7" t="s">
        <v>34</v>
      </c>
      <c r="U3" t="s">
        <v>35</v>
      </c>
      <c r="V3" s="7" t="s">
        <v>27</v>
      </c>
      <c r="W3" t="s">
        <v>36</v>
      </c>
      <c r="X3" s="7" t="s">
        <v>27</v>
      </c>
      <c r="Y3" t="s">
        <v>37</v>
      </c>
      <c r="Z3" s="7" t="s">
        <v>27</v>
      </c>
      <c r="AA3" t="s">
        <v>38</v>
      </c>
      <c r="AB3" s="7" t="s">
        <v>29</v>
      </c>
      <c r="AC3" t="s">
        <v>39</v>
      </c>
      <c r="AD3" s="7" t="s">
        <v>29</v>
      </c>
      <c r="AE3" t="s">
        <v>18</v>
      </c>
      <c r="AF3" s="7" t="s">
        <v>29</v>
      </c>
      <c r="AG3" t="s">
        <v>19</v>
      </c>
      <c r="AH3" s="7" t="s">
        <v>27</v>
      </c>
      <c r="AI3" t="s">
        <v>20</v>
      </c>
      <c r="AJ3" s="7" t="s">
        <v>27</v>
      </c>
      <c r="AK3" t="s">
        <v>21</v>
      </c>
      <c r="AL3" s="7" t="s">
        <v>27</v>
      </c>
      <c r="AM3" t="s">
        <v>40</v>
      </c>
      <c r="AN3" s="7" t="s">
        <v>27</v>
      </c>
      <c r="AO3" t="s">
        <v>23</v>
      </c>
      <c r="AP3" s="7" t="s">
        <v>41</v>
      </c>
      <c r="AQ3" t="s">
        <v>42</v>
      </c>
      <c r="AR3" s="7" t="s">
        <v>43</v>
      </c>
    </row>
    <row r="4" spans="5:44" x14ac:dyDescent="0.2">
      <c r="E4" s="14" t="s">
        <v>44</v>
      </c>
      <c r="F4" s="15" t="s">
        <v>452</v>
      </c>
      <c r="J4" s="13" t="s">
        <v>9</v>
      </c>
      <c r="K4" t="s">
        <v>45</v>
      </c>
      <c r="L4" s="7" t="s">
        <v>27</v>
      </c>
      <c r="M4" t="s">
        <v>46</v>
      </c>
      <c r="N4" s="7" t="s">
        <v>29</v>
      </c>
      <c r="O4" t="s">
        <v>47</v>
      </c>
      <c r="P4" s="7" t="s">
        <v>29</v>
      </c>
      <c r="Q4" t="s">
        <v>48</v>
      </c>
      <c r="R4" s="7" t="s">
        <v>32</v>
      </c>
      <c r="S4" t="s">
        <v>49</v>
      </c>
      <c r="T4" s="7" t="s">
        <v>34</v>
      </c>
      <c r="U4" t="s">
        <v>50</v>
      </c>
      <c r="V4" s="7" t="s">
        <v>32</v>
      </c>
      <c r="W4" t="s">
        <v>51</v>
      </c>
      <c r="X4" s="7" t="s">
        <v>27</v>
      </c>
      <c r="Y4" t="s">
        <v>52</v>
      </c>
      <c r="Z4" s="7" t="s">
        <v>53</v>
      </c>
      <c r="AA4" t="s">
        <v>54</v>
      </c>
      <c r="AB4" s="7" t="s">
        <v>29</v>
      </c>
      <c r="AC4" t="s">
        <v>55</v>
      </c>
      <c r="AD4" s="7" t="s">
        <v>29</v>
      </c>
      <c r="AE4" t="s">
        <v>56</v>
      </c>
      <c r="AF4" s="7" t="s">
        <v>29</v>
      </c>
      <c r="AH4" s="7"/>
      <c r="AJ4" s="7"/>
      <c r="AL4" s="7"/>
      <c r="AM4" t="s">
        <v>57</v>
      </c>
      <c r="AN4" s="7" t="s">
        <v>27</v>
      </c>
      <c r="AQ4" t="s">
        <v>58</v>
      </c>
      <c r="AR4" s="7" t="s">
        <v>43</v>
      </c>
    </row>
    <row r="5" spans="5:44" x14ac:dyDescent="0.2">
      <c r="E5" s="16" t="s">
        <v>59</v>
      </c>
      <c r="F5" s="17" t="s">
        <v>450</v>
      </c>
      <c r="J5" s="13" t="s">
        <v>10</v>
      </c>
      <c r="K5" t="s">
        <v>60</v>
      </c>
      <c r="L5" s="7" t="s">
        <v>27</v>
      </c>
      <c r="M5" t="s">
        <v>61</v>
      </c>
      <c r="N5" s="7" t="s">
        <v>29</v>
      </c>
      <c r="O5" t="s">
        <v>62</v>
      </c>
      <c r="P5" s="7" t="s">
        <v>32</v>
      </c>
      <c r="Q5" t="s">
        <v>63</v>
      </c>
      <c r="R5" s="7" t="s">
        <v>32</v>
      </c>
      <c r="S5" t="s">
        <v>64</v>
      </c>
      <c r="T5" s="7" t="s">
        <v>34</v>
      </c>
      <c r="U5" t="s">
        <v>65</v>
      </c>
      <c r="V5" s="7" t="s">
        <v>32</v>
      </c>
      <c r="W5" t="s">
        <v>66</v>
      </c>
      <c r="X5" s="7" t="s">
        <v>32</v>
      </c>
      <c r="Y5" t="s">
        <v>67</v>
      </c>
      <c r="Z5" s="7" t="s">
        <v>53</v>
      </c>
      <c r="AB5" s="7"/>
      <c r="AD5" s="7"/>
      <c r="AF5" s="7"/>
      <c r="AH5" s="7"/>
      <c r="AJ5" s="7"/>
      <c r="AL5" s="7"/>
      <c r="AM5" t="s">
        <v>68</v>
      </c>
      <c r="AN5" s="7" t="s">
        <v>27</v>
      </c>
      <c r="AQ5" t="s">
        <v>69</v>
      </c>
      <c r="AR5" s="7" t="s">
        <v>43</v>
      </c>
    </row>
    <row r="6" spans="5:44" x14ac:dyDescent="0.2">
      <c r="E6" s="16" t="s">
        <v>70</v>
      </c>
      <c r="F6" s="17" t="s">
        <v>447</v>
      </c>
      <c r="J6" s="13" t="s">
        <v>11</v>
      </c>
      <c r="M6" t="s">
        <v>71</v>
      </c>
      <c r="N6" s="7" t="s">
        <v>29</v>
      </c>
      <c r="O6" t="s">
        <v>72</v>
      </c>
      <c r="P6" s="7" t="s">
        <v>29</v>
      </c>
      <c r="Q6" t="s">
        <v>73</v>
      </c>
      <c r="R6" s="7" t="s">
        <v>29</v>
      </c>
      <c r="S6" t="s">
        <v>74</v>
      </c>
      <c r="T6" s="7" t="s">
        <v>32</v>
      </c>
      <c r="U6" t="s">
        <v>75</v>
      </c>
      <c r="V6" s="7" t="s">
        <v>32</v>
      </c>
      <c r="W6" t="s">
        <v>76</v>
      </c>
      <c r="X6" s="7" t="s">
        <v>32</v>
      </c>
      <c r="Y6" t="s">
        <v>77</v>
      </c>
      <c r="Z6" s="7" t="s">
        <v>27</v>
      </c>
      <c r="AQ6" t="s">
        <v>78</v>
      </c>
      <c r="AR6" s="7" t="s">
        <v>43</v>
      </c>
    </row>
    <row r="7" spans="5:44" x14ac:dyDescent="0.2">
      <c r="E7" s="18" t="s">
        <v>79</v>
      </c>
      <c r="F7" s="19"/>
      <c r="J7" s="13" t="s">
        <v>12</v>
      </c>
      <c r="M7" t="s">
        <v>80</v>
      </c>
      <c r="N7" s="7" t="s">
        <v>29</v>
      </c>
      <c r="O7" t="s">
        <v>81</v>
      </c>
      <c r="P7" s="7" t="s">
        <v>29</v>
      </c>
      <c r="Q7" t="s">
        <v>82</v>
      </c>
      <c r="R7" s="7" t="s">
        <v>53</v>
      </c>
      <c r="S7" t="s">
        <v>83</v>
      </c>
      <c r="T7" s="7" t="s">
        <v>34</v>
      </c>
      <c r="U7" t="s">
        <v>84</v>
      </c>
      <c r="V7" s="7" t="s">
        <v>34</v>
      </c>
      <c r="Y7" t="s">
        <v>85</v>
      </c>
      <c r="Z7" s="7" t="s">
        <v>27</v>
      </c>
    </row>
    <row r="8" spans="5:44" x14ac:dyDescent="0.2">
      <c r="E8" s="18" t="s">
        <v>86</v>
      </c>
      <c r="F8" s="19"/>
      <c r="J8" s="13" t="s">
        <v>13</v>
      </c>
      <c r="M8" t="s">
        <v>87</v>
      </c>
      <c r="N8" s="7" t="s">
        <v>29</v>
      </c>
      <c r="O8" t="s">
        <v>88</v>
      </c>
      <c r="P8" s="7" t="s">
        <v>29</v>
      </c>
      <c r="Q8" t="s">
        <v>89</v>
      </c>
      <c r="R8" s="7" t="s">
        <v>34</v>
      </c>
      <c r="S8" t="s">
        <v>90</v>
      </c>
      <c r="T8" s="7" t="s">
        <v>34</v>
      </c>
      <c r="U8" t="s">
        <v>91</v>
      </c>
      <c r="V8" s="7" t="s">
        <v>34</v>
      </c>
      <c r="Y8" t="s">
        <v>92</v>
      </c>
      <c r="Z8" s="7" t="s">
        <v>29</v>
      </c>
    </row>
    <row r="9" spans="5:44" x14ac:dyDescent="0.2">
      <c r="E9" s="18" t="str">
        <f>IF(F4="FGTS","Valor de Financiamento Contratado (R$):","Valor do Repasse Contratado (R$):")</f>
        <v>Valor do Repasse Contratado (R$):</v>
      </c>
      <c r="F9" s="20"/>
      <c r="J9" s="13" t="s">
        <v>14</v>
      </c>
      <c r="S9" t="s">
        <v>93</v>
      </c>
      <c r="T9" s="7" t="s">
        <v>32</v>
      </c>
      <c r="U9" t="s">
        <v>94</v>
      </c>
      <c r="V9" s="7" t="s">
        <v>34</v>
      </c>
    </row>
    <row r="10" spans="5:44" x14ac:dyDescent="0.2">
      <c r="E10" s="18" t="s">
        <v>95</v>
      </c>
      <c r="F10" s="20"/>
      <c r="J10" s="13" t="s">
        <v>15</v>
      </c>
      <c r="S10" t="s">
        <v>96</v>
      </c>
      <c r="T10" s="7" t="s">
        <v>53</v>
      </c>
      <c r="U10" t="s">
        <v>97</v>
      </c>
      <c r="V10" s="7" t="s">
        <v>27</v>
      </c>
    </row>
    <row r="11" spans="5:44" x14ac:dyDescent="0.2">
      <c r="E11" s="18" t="s">
        <v>98</v>
      </c>
      <c r="F11" s="21">
        <v>0</v>
      </c>
      <c r="J11" s="13" t="s">
        <v>16</v>
      </c>
      <c r="S11" t="s">
        <v>99</v>
      </c>
      <c r="T11" s="7" t="s">
        <v>32</v>
      </c>
    </row>
    <row r="12" spans="5:44" x14ac:dyDescent="0.2">
      <c r="E12" s="18" t="s">
        <v>100</v>
      </c>
      <c r="F12" s="20"/>
      <c r="J12" s="13" t="s">
        <v>17</v>
      </c>
      <c r="S12" t="s">
        <v>35</v>
      </c>
      <c r="T12" s="7" t="s">
        <v>27</v>
      </c>
    </row>
    <row r="13" spans="5:44" x14ac:dyDescent="0.2">
      <c r="E13" s="22" t="s">
        <v>101</v>
      </c>
      <c r="F13" s="23">
        <v>0.25</v>
      </c>
      <c r="J13" s="13" t="s">
        <v>18</v>
      </c>
      <c r="S13" t="s">
        <v>102</v>
      </c>
      <c r="T13" s="7" t="s">
        <v>32</v>
      </c>
    </row>
    <row r="14" spans="5:44" x14ac:dyDescent="0.2">
      <c r="F14" s="24"/>
      <c r="J14" s="13" t="s">
        <v>19</v>
      </c>
    </row>
    <row r="15" spans="5:44" ht="15" x14ac:dyDescent="0.2">
      <c r="E15" s="580" t="s">
        <v>103</v>
      </c>
      <c r="F15" s="580"/>
      <c r="J15" s="13" t="s">
        <v>20</v>
      </c>
    </row>
    <row r="16" spans="5:44" x14ac:dyDescent="0.2">
      <c r="E16" s="25" t="s">
        <v>104</v>
      </c>
      <c r="F16" s="26" t="s">
        <v>486</v>
      </c>
      <c r="J16" s="13" t="s">
        <v>21</v>
      </c>
    </row>
    <row r="17" spans="5:10" x14ac:dyDescent="0.2">
      <c r="E17" s="18" t="s">
        <v>105</v>
      </c>
      <c r="F17" s="27" t="s">
        <v>458</v>
      </c>
      <c r="J17" s="13" t="s">
        <v>22</v>
      </c>
    </row>
    <row r="18" spans="5:10" x14ac:dyDescent="0.2">
      <c r="E18" s="18" t="s">
        <v>106</v>
      </c>
      <c r="F18" s="28" t="s">
        <v>445</v>
      </c>
      <c r="J18" s="13" t="s">
        <v>23</v>
      </c>
    </row>
    <row r="19" spans="5:10" x14ac:dyDescent="0.2">
      <c r="E19" s="29" t="s">
        <v>107</v>
      </c>
      <c r="F19" s="30">
        <v>45383</v>
      </c>
      <c r="J19" s="13" t="s">
        <v>24</v>
      </c>
    </row>
    <row r="20" spans="5:10" x14ac:dyDescent="0.2">
      <c r="F20" s="31"/>
      <c r="J20" s="13"/>
    </row>
    <row r="21" spans="5:10" ht="15" x14ac:dyDescent="0.2">
      <c r="E21" s="580" t="s">
        <v>108</v>
      </c>
      <c r="F21" s="580"/>
      <c r="J21" s="13"/>
    </row>
    <row r="22" spans="5:10" x14ac:dyDescent="0.2">
      <c r="E22" s="16" t="s">
        <v>109</v>
      </c>
      <c r="F22" s="32" t="s">
        <v>490</v>
      </c>
    </row>
    <row r="23" spans="5:10" x14ac:dyDescent="0.2">
      <c r="E23" s="18" t="s">
        <v>110</v>
      </c>
      <c r="F23" s="19" t="s">
        <v>491</v>
      </c>
    </row>
    <row r="24" spans="5:10" x14ac:dyDescent="0.2">
      <c r="E24" s="18" t="s">
        <v>111</v>
      </c>
      <c r="F24" s="19" t="s">
        <v>492</v>
      </c>
    </row>
    <row r="25" spans="5:10" x14ac:dyDescent="0.2">
      <c r="E25" s="22" t="s">
        <v>112</v>
      </c>
      <c r="F25" s="33">
        <f ca="1">TODAY()</f>
        <v>45545</v>
      </c>
    </row>
    <row r="27" spans="5:10" ht="15" x14ac:dyDescent="0.2">
      <c r="E27" s="580" t="s">
        <v>113</v>
      </c>
      <c r="F27" s="580"/>
    </row>
    <row r="28" spans="5:10" x14ac:dyDescent="0.2">
      <c r="E28" s="14" t="s">
        <v>109</v>
      </c>
      <c r="F28" s="34" t="s">
        <v>448</v>
      </c>
    </row>
    <row r="29" spans="5:10" x14ac:dyDescent="0.2">
      <c r="E29" s="22" t="s">
        <v>114</v>
      </c>
      <c r="F29" s="35" t="s">
        <v>449</v>
      </c>
    </row>
    <row r="30" spans="5:10" ht="15.75" x14ac:dyDescent="0.2">
      <c r="E30" s="8"/>
    </row>
    <row r="31" spans="5:10" ht="12.75" customHeight="1" x14ac:dyDescent="0.2">
      <c r="E31" s="8"/>
    </row>
    <row r="32" spans="5:10" ht="12.75" customHeight="1" x14ac:dyDescent="0.2">
      <c r="E32" s="8" t="s">
        <v>115</v>
      </c>
    </row>
    <row r="33" spans="5:6" ht="15.75" x14ac:dyDescent="0.2">
      <c r="E33" s="8"/>
    </row>
    <row r="34" spans="5:6" ht="12.75" customHeight="1" x14ac:dyDescent="0.2">
      <c r="E34" s="580" t="s">
        <v>116</v>
      </c>
      <c r="F34" s="580"/>
    </row>
    <row r="35" spans="5:6" x14ac:dyDescent="0.2">
      <c r="E35" s="14" t="s">
        <v>117</v>
      </c>
      <c r="F35" s="36"/>
    </row>
    <row r="36" spans="5:6" x14ac:dyDescent="0.2">
      <c r="E36" s="16" t="s">
        <v>118</v>
      </c>
      <c r="F36" s="17"/>
    </row>
    <row r="37" spans="5:6" x14ac:dyDescent="0.2">
      <c r="E37" s="18" t="s">
        <v>119</v>
      </c>
      <c r="F37" s="19"/>
    </row>
    <row r="38" spans="5:6" x14ac:dyDescent="0.2">
      <c r="E38" s="18" t="s">
        <v>120</v>
      </c>
      <c r="F38" s="19"/>
    </row>
    <row r="39" spans="5:6" x14ac:dyDescent="0.2">
      <c r="E39" s="18" t="s">
        <v>121</v>
      </c>
      <c r="F39" s="28" t="s">
        <v>453</v>
      </c>
    </row>
    <row r="40" spans="5:6" x14ac:dyDescent="0.2">
      <c r="E40" s="29" t="s">
        <v>122</v>
      </c>
      <c r="F40" s="37"/>
    </row>
    <row r="41" spans="5:6" ht="15.75" x14ac:dyDescent="0.2">
      <c r="E41" s="8"/>
    </row>
    <row r="42" spans="5:6" ht="12.75" customHeight="1" x14ac:dyDescent="0.2">
      <c r="E42" s="8"/>
    </row>
    <row r="43" spans="5:6" ht="12.75" customHeight="1" x14ac:dyDescent="0.2">
      <c r="E43" s="8" t="s">
        <v>123</v>
      </c>
    </row>
    <row r="44" spans="5:6" ht="15.75" x14ac:dyDescent="0.2">
      <c r="E44" s="8"/>
    </row>
    <row r="45" spans="5:6" ht="12.75" customHeight="1" x14ac:dyDescent="0.2">
      <c r="E45" s="580" t="s">
        <v>124</v>
      </c>
      <c r="F45" s="580"/>
    </row>
    <row r="46" spans="5:6" x14ac:dyDescent="0.2">
      <c r="E46" s="14" t="s">
        <v>125</v>
      </c>
      <c r="F46" s="36">
        <v>45474</v>
      </c>
    </row>
    <row r="47" spans="5:6" x14ac:dyDescent="0.2">
      <c r="E47" s="29" t="s">
        <v>126</v>
      </c>
      <c r="F47" s="38">
        <f ca="1">TODAY()</f>
        <v>45545</v>
      </c>
    </row>
    <row r="48" spans="5:6" ht="15.75" x14ac:dyDescent="0.2">
      <c r="E48" s="8"/>
    </row>
    <row r="49" spans="5:6" ht="12.75" customHeight="1" x14ac:dyDescent="0.2">
      <c r="E49" s="580" t="s">
        <v>127</v>
      </c>
      <c r="F49" s="580"/>
    </row>
    <row r="50" spans="5:6" x14ac:dyDescent="0.2">
      <c r="E50" s="14" t="s">
        <v>109</v>
      </c>
      <c r="F50" s="39"/>
    </row>
    <row r="51" spans="5:6" x14ac:dyDescent="0.2">
      <c r="E51" s="18" t="s">
        <v>128</v>
      </c>
      <c r="F51" s="19"/>
    </row>
    <row r="52" spans="5:6" x14ac:dyDescent="0.2">
      <c r="E52" s="18" t="s">
        <v>129</v>
      </c>
      <c r="F52" s="19"/>
    </row>
    <row r="53" spans="5:6" x14ac:dyDescent="0.2">
      <c r="E53" s="22" t="s">
        <v>130</v>
      </c>
      <c r="F53" s="40"/>
    </row>
    <row r="54" spans="5:6" x14ac:dyDescent="0.2">
      <c r="F54" s="31"/>
    </row>
    <row r="56" spans="5:6" ht="15.75" x14ac:dyDescent="0.2">
      <c r="E56" s="8" t="s">
        <v>131</v>
      </c>
    </row>
    <row r="57" spans="5:6" ht="16.5" thickBot="1" x14ac:dyDescent="0.25">
      <c r="E57" s="8"/>
    </row>
    <row r="58" spans="5:6" ht="15.75" thickBot="1" x14ac:dyDescent="0.25">
      <c r="E58" s="580" t="s">
        <v>132</v>
      </c>
      <c r="F58" s="580"/>
    </row>
    <row r="59" spans="5:6" x14ac:dyDescent="0.2">
      <c r="E59" s="14" t="s">
        <v>109</v>
      </c>
      <c r="F59" s="39"/>
    </row>
    <row r="60" spans="5:6" ht="13.5" thickBot="1" x14ac:dyDescent="0.25">
      <c r="E60" s="29" t="s">
        <v>133</v>
      </c>
      <c r="F60" s="41"/>
    </row>
  </sheetData>
  <sheetProtection password="BD1F" sheet="1" objects="1" scenarios="1" autoFilter="0"/>
  <mergeCells count="9">
    <mergeCell ref="E49:F49"/>
    <mergeCell ref="E58:F58"/>
    <mergeCell ref="L1:AR1"/>
    <mergeCell ref="E3:F3"/>
    <mergeCell ref="E15:F15"/>
    <mergeCell ref="E21:F21"/>
    <mergeCell ref="E27:F27"/>
    <mergeCell ref="E34:F34"/>
    <mergeCell ref="E45:F45"/>
  </mergeCells>
  <phoneticPr fontId="38" type="noConversion"/>
  <conditionalFormatting sqref="E56:F57">
    <cfRule type="expression" dxfId="302" priority="2" stopIfTrue="1">
      <formula>CAIXA.Modo=FALSE</formula>
    </cfRule>
  </conditionalFormatting>
  <conditionalFormatting sqref="E58:F60">
    <cfRule type="expression" dxfId="301" priority="3" stopIfTrue="1">
      <formula>CAIXA.Modo=FALSE</formula>
    </cfRule>
  </conditionalFormatting>
  <dataValidations count="6">
    <dataValidation type="date" allowBlank="1" showErrorMessage="1" errorTitle="Dados inválidos" error="Digite somente datas válidas no formato mm/aaaa." sqref="F19 F25 F35 F40 F46:F47">
      <formula1>36526</formula1>
      <formula2>72686</formula2>
    </dataValidation>
    <dataValidation type="list" allowBlank="1" showErrorMessage="1" sqref="F18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>
      <formula1>0</formula1>
      <formula2>1</formula2>
    </dataValidation>
    <dataValidation type="list" allowBlank="1" showErrorMessage="1" sqref="F4">
      <formula1>"(SELECIONAR),OGU,FGTS"</formula1>
      <formula2>0</formula2>
    </dataValidation>
    <dataValidation type="decimal" operator="greaterThan" allowBlank="1" showErrorMessage="1" error="Digite um valor maior do que 0." sqref="F12">
      <formula1>0</formula1>
      <formula2>0</formula2>
    </dataValidation>
    <dataValidation type="list" allowBlank="1" showErrorMessage="1" sqref="F39">
      <formula1>"(SELECIONAR),INDEFINIDO / NÃO SE APLICA,EMPREITADA POR PREÇO GLOBAL,EMPREITADA POR PREÇO UNITÁRIO,EMPREITADA INTEGRAL,TAREFA,CONTRATAÇÃO INTEGRADA,ADM. DIRETA"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65" firstPageNumber="0" fitToHeight="0" orientation="portrait" horizontalDpi="300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3:E47"/>
  <sheetViews>
    <sheetView showGridLines="0" zoomScale="90" zoomScaleNormal="90" workbookViewId="0">
      <pane ySplit="3" topLeftCell="A25" activePane="bottomLeft" state="frozen"/>
      <selection pane="bottomLeft" activeCell="AB3" sqref="AB3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42" t="s">
        <v>134</v>
      </c>
    </row>
    <row r="5" spans="1:4" ht="18.75" x14ac:dyDescent="0.3">
      <c r="A5" s="43"/>
      <c r="B5" s="44"/>
      <c r="C5" s="44"/>
      <c r="D5" s="45"/>
    </row>
    <row r="6" spans="1:4" ht="18.75" x14ac:dyDescent="0.3">
      <c r="A6" s="46" t="s">
        <v>135</v>
      </c>
      <c r="B6" s="47"/>
      <c r="C6" s="47"/>
      <c r="D6" s="3"/>
    </row>
    <row r="7" spans="1:4" ht="15" x14ac:dyDescent="0.25">
      <c r="A7" s="4"/>
      <c r="B7" s="48" t="s">
        <v>136</v>
      </c>
      <c r="C7" s="48"/>
      <c r="D7" s="3"/>
    </row>
    <row r="8" spans="1:4" ht="15" x14ac:dyDescent="0.25">
      <c r="A8" s="4"/>
      <c r="B8" s="48"/>
      <c r="C8" s="49" t="str">
        <f>IF(D8&lt;&gt;"","▪","")</f>
        <v>▪</v>
      </c>
      <c r="D8" s="3" t="s">
        <v>137</v>
      </c>
    </row>
    <row r="9" spans="1:4" ht="15" x14ac:dyDescent="0.25">
      <c r="A9" s="4"/>
      <c r="B9" s="48"/>
      <c r="C9" s="49" t="str">
        <f>IF(D9&lt;&gt;"","▪","")</f>
        <v/>
      </c>
      <c r="D9" s="3"/>
    </row>
    <row r="10" spans="1:4" ht="18.75" x14ac:dyDescent="0.3">
      <c r="A10" s="563" t="s">
        <v>413</v>
      </c>
      <c r="B10" s="564"/>
      <c r="C10" s="564"/>
      <c r="D10" s="565"/>
    </row>
    <row r="11" spans="1:4" ht="15" x14ac:dyDescent="0.25">
      <c r="A11" s="4"/>
      <c r="B11" s="48" t="s">
        <v>136</v>
      </c>
      <c r="C11" s="48"/>
      <c r="D11" s="3"/>
    </row>
    <row r="12" spans="1:4" ht="15" x14ac:dyDescent="0.25">
      <c r="A12" s="4"/>
      <c r="B12" s="48"/>
      <c r="C12" s="49" t="str">
        <f>IF(D12&lt;&gt;"","▪","")</f>
        <v>▪</v>
      </c>
      <c r="D12" s="3" t="s">
        <v>416</v>
      </c>
    </row>
    <row r="13" spans="1:4" ht="15" x14ac:dyDescent="0.25">
      <c r="A13" s="4"/>
      <c r="B13" s="48" t="s">
        <v>414</v>
      </c>
      <c r="C13" s="48"/>
      <c r="D13" s="3"/>
    </row>
    <row r="14" spans="1:4" ht="15" x14ac:dyDescent="0.25">
      <c r="A14" s="476"/>
      <c r="B14" s="48"/>
      <c r="C14" s="49" t="str">
        <f>IF(D14&lt;&gt;"","▪","")</f>
        <v>▪</v>
      </c>
      <c r="D14" s="3" t="s">
        <v>417</v>
      </c>
    </row>
    <row r="15" spans="1:4" ht="15" x14ac:dyDescent="0.2">
      <c r="A15" s="476"/>
      <c r="C15" s="49" t="str">
        <f>IF(D15&lt;&gt;"","▪","")</f>
        <v>▪</v>
      </c>
      <c r="D15" s="3" t="s">
        <v>418</v>
      </c>
    </row>
    <row r="16" spans="1:4" x14ac:dyDescent="0.2">
      <c r="A16" s="480"/>
    </row>
    <row r="17" spans="1:4" ht="18.75" x14ac:dyDescent="0.3">
      <c r="A17" s="563" t="s">
        <v>420</v>
      </c>
      <c r="B17" s="564"/>
      <c r="C17" s="564"/>
      <c r="D17" s="565"/>
    </row>
    <row r="18" spans="1:4" ht="15" x14ac:dyDescent="0.25">
      <c r="A18" s="4"/>
      <c r="B18" s="48" t="s">
        <v>136</v>
      </c>
      <c r="C18" s="48"/>
      <c r="D18" s="3"/>
    </row>
    <row r="19" spans="1:4" ht="15" x14ac:dyDescent="0.25">
      <c r="A19" s="4"/>
      <c r="B19" s="48"/>
      <c r="C19" s="49" t="str">
        <f>IF(D19&lt;&gt;"","▪","")</f>
        <v>▪</v>
      </c>
      <c r="D19" s="3" t="s">
        <v>416</v>
      </c>
    </row>
    <row r="20" spans="1:4" ht="15" x14ac:dyDescent="0.25">
      <c r="A20" s="4"/>
      <c r="B20" s="48"/>
      <c r="C20" s="49" t="str">
        <f>IF(D20&lt;&gt;"","▪","")</f>
        <v>▪</v>
      </c>
      <c r="D20" s="3" t="s">
        <v>429</v>
      </c>
    </row>
    <row r="21" spans="1:4" ht="15" x14ac:dyDescent="0.25">
      <c r="A21" s="476"/>
      <c r="B21" s="48" t="s">
        <v>427</v>
      </c>
      <c r="C21" s="48"/>
      <c r="D21" s="3"/>
    </row>
    <row r="22" spans="1:4" ht="15" x14ac:dyDescent="0.25">
      <c r="A22" s="476"/>
      <c r="B22" s="48"/>
      <c r="C22" s="49" t="str">
        <f>IF(D22&lt;&gt;"","▪","")</f>
        <v>▪</v>
      </c>
      <c r="D22" s="3" t="s">
        <v>428</v>
      </c>
    </row>
    <row r="23" spans="1:4" ht="15" x14ac:dyDescent="0.25">
      <c r="A23" s="476"/>
      <c r="B23" s="48" t="s">
        <v>421</v>
      </c>
      <c r="C23" s="48"/>
      <c r="D23" s="3"/>
    </row>
    <row r="24" spans="1:4" ht="15" x14ac:dyDescent="0.25">
      <c r="A24" s="476"/>
      <c r="B24" s="48"/>
      <c r="C24" s="49" t="str">
        <f>IF(D24&lt;&gt;"","▪","")</f>
        <v>▪</v>
      </c>
      <c r="D24" s="3" t="s">
        <v>425</v>
      </c>
    </row>
    <row r="25" spans="1:4" ht="15" x14ac:dyDescent="0.25">
      <c r="A25" s="476"/>
      <c r="B25" s="48" t="s">
        <v>422</v>
      </c>
      <c r="C25" s="48"/>
      <c r="D25" s="3"/>
    </row>
    <row r="26" spans="1:4" ht="15" x14ac:dyDescent="0.25">
      <c r="A26" s="476"/>
      <c r="B26" s="48"/>
      <c r="C26" s="49" t="str">
        <f>IF(D26&lt;&gt;"","▪","")</f>
        <v>▪</v>
      </c>
      <c r="D26" s="3" t="s">
        <v>424</v>
      </c>
    </row>
    <row r="27" spans="1:4" ht="15" x14ac:dyDescent="0.25">
      <c r="A27" s="476"/>
      <c r="B27" s="48" t="s">
        <v>426</v>
      </c>
      <c r="C27" s="48"/>
      <c r="D27" s="3"/>
    </row>
    <row r="28" spans="1:4" ht="15" x14ac:dyDescent="0.25">
      <c r="A28" s="476"/>
      <c r="B28" s="48"/>
      <c r="C28" s="49" t="str">
        <f>IF(D28&lt;&gt;"","▪","")</f>
        <v>▪</v>
      </c>
      <c r="D28" s="3" t="s">
        <v>423</v>
      </c>
    </row>
    <row r="29" spans="1:4" x14ac:dyDescent="0.2">
      <c r="A29" s="480"/>
    </row>
    <row r="30" spans="1:4" ht="18.75" x14ac:dyDescent="0.3">
      <c r="A30" s="563" t="s">
        <v>430</v>
      </c>
      <c r="B30" s="564"/>
      <c r="C30" s="564"/>
      <c r="D30" s="565"/>
    </row>
    <row r="31" spans="1:4" ht="15" x14ac:dyDescent="0.25">
      <c r="A31" s="4"/>
      <c r="B31" s="48" t="s">
        <v>136</v>
      </c>
      <c r="C31" s="48"/>
      <c r="D31" s="3"/>
    </row>
    <row r="32" spans="1:4" ht="15" x14ac:dyDescent="0.25">
      <c r="A32" s="4"/>
      <c r="B32" s="48"/>
      <c r="C32" s="49" t="str">
        <f>IF(D32&lt;&gt;"","▪","")</f>
        <v>▪</v>
      </c>
      <c r="D32" s="3" t="s">
        <v>429</v>
      </c>
    </row>
    <row r="33" spans="1:5" ht="15" x14ac:dyDescent="0.25">
      <c r="A33" s="4"/>
      <c r="B33" s="48" t="s">
        <v>431</v>
      </c>
      <c r="C33" s="49"/>
      <c r="D33" s="3"/>
    </row>
    <row r="34" spans="1:5" ht="15" x14ac:dyDescent="0.25">
      <c r="A34" s="4"/>
      <c r="B34" s="48"/>
      <c r="C34" s="49" t="str">
        <f>IF(D34&lt;&gt;"","▪","")</f>
        <v>▪</v>
      </c>
      <c r="D34" s="3" t="s">
        <v>432</v>
      </c>
    </row>
    <row r="35" spans="1:5" ht="15" x14ac:dyDescent="0.25">
      <c r="A35" s="4"/>
      <c r="B35" s="48"/>
      <c r="C35" s="48"/>
      <c r="D35" s="48"/>
      <c r="E35" s="48"/>
    </row>
    <row r="36" spans="1:5" x14ac:dyDescent="0.2">
      <c r="A36" s="480"/>
    </row>
    <row r="37" spans="1:5" ht="18.75" x14ac:dyDescent="0.3">
      <c r="A37" s="563" t="s">
        <v>433</v>
      </c>
      <c r="B37" s="564"/>
      <c r="C37" s="564"/>
      <c r="D37" s="565"/>
    </row>
    <row r="38" spans="1:5" ht="15" x14ac:dyDescent="0.25">
      <c r="A38" s="4"/>
      <c r="B38" s="48" t="s">
        <v>214</v>
      </c>
      <c r="C38" s="48"/>
      <c r="D38" s="3"/>
    </row>
    <row r="39" spans="1:5" ht="15" x14ac:dyDescent="0.25">
      <c r="A39" s="4"/>
      <c r="B39" s="48"/>
      <c r="C39" s="49" t="str">
        <f>IF(D39&lt;&gt;"","▪","")</f>
        <v>▪</v>
      </c>
      <c r="D39" s="3" t="s">
        <v>434</v>
      </c>
    </row>
    <row r="40" spans="1:5" ht="15" x14ac:dyDescent="0.25">
      <c r="A40" s="4"/>
      <c r="B40" s="48" t="s">
        <v>421</v>
      </c>
      <c r="C40" s="48"/>
      <c r="D40" s="3"/>
    </row>
    <row r="41" spans="1:5" ht="15" x14ac:dyDescent="0.25">
      <c r="A41" s="4"/>
      <c r="B41" s="48"/>
      <c r="C41" s="49" t="str">
        <f>IF(D41&lt;&gt;"","▪","")</f>
        <v>▪</v>
      </c>
      <c r="D41" s="3" t="s">
        <v>435</v>
      </c>
    </row>
    <row r="42" spans="1:5" ht="15" x14ac:dyDescent="0.25">
      <c r="A42" s="4"/>
      <c r="B42" s="48" t="s">
        <v>422</v>
      </c>
      <c r="C42" s="48"/>
      <c r="D42" s="3"/>
      <c r="E42" s="48"/>
    </row>
    <row r="43" spans="1:5" ht="15" x14ac:dyDescent="0.25">
      <c r="A43" s="4"/>
      <c r="B43" s="48"/>
      <c r="C43" s="49" t="str">
        <f>IF(D43&lt;&gt;"","▪","")</f>
        <v>▪</v>
      </c>
      <c r="D43" s="3" t="s">
        <v>436</v>
      </c>
    </row>
    <row r="44" spans="1:5" ht="15" x14ac:dyDescent="0.25">
      <c r="A44" s="4"/>
      <c r="B44" s="48"/>
      <c r="C44" s="48"/>
      <c r="D44" s="48"/>
    </row>
    <row r="45" spans="1:5" ht="18.75" x14ac:dyDescent="0.3">
      <c r="A45" s="563" t="s">
        <v>437</v>
      </c>
      <c r="B45" s="564"/>
      <c r="C45" s="564"/>
      <c r="D45" s="565"/>
    </row>
    <row r="46" spans="1:5" ht="15" x14ac:dyDescent="0.25">
      <c r="A46" s="4"/>
      <c r="B46" s="48" t="s">
        <v>136</v>
      </c>
      <c r="C46" s="48"/>
      <c r="D46" s="3"/>
    </row>
    <row r="47" spans="1:5" ht="15" x14ac:dyDescent="0.25">
      <c r="A47" s="4"/>
      <c r="B47" s="48"/>
      <c r="C47" s="49" t="str">
        <f>IF(D47&lt;&gt;"","▪","")</f>
        <v>▪</v>
      </c>
      <c r="D47" s="3" t="s">
        <v>438</v>
      </c>
    </row>
  </sheetData>
  <sheetProtection password="BD1F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 filterMode="1">
    <pageSetUpPr fitToPage="1"/>
  </sheetPr>
  <dimension ref="A1:Z146"/>
  <sheetViews>
    <sheetView showGridLines="0" topLeftCell="H1" zoomScale="90" zoomScaleNormal="90" zoomScaleSheetLayoutView="100" workbookViewId="0">
      <pane ySplit="11" topLeftCell="A35" activePane="bottomLeft" state="frozen"/>
      <selection activeCell="E1" sqref="E1"/>
      <selection pane="bottomLeft" activeCell="S24" sqref="S24"/>
    </sheetView>
  </sheetViews>
  <sheetFormatPr defaultRowHeight="12.75" x14ac:dyDescent="0.2"/>
  <cols>
    <col min="1" max="4" width="5.7109375" style="50" hidden="1" customWidth="1"/>
    <col min="5" max="5" width="11.28515625" style="50" hidden="1" customWidth="1"/>
    <col min="6" max="6" width="11.42578125" style="50" hidden="1" customWidth="1"/>
    <col min="7" max="7" width="11.85546875" style="50" hidden="1" customWidth="1"/>
    <col min="8" max="8" width="10.7109375" customWidth="1"/>
    <col min="9" max="9" width="3.7109375" customWidth="1"/>
    <col min="10" max="15" width="10.7109375" style="50" customWidth="1"/>
    <col min="16" max="16" width="12.85546875" style="50" customWidth="1"/>
    <col min="17" max="19" width="10.7109375" style="50" customWidth="1"/>
  </cols>
  <sheetData>
    <row r="1" spans="1:19" ht="15.75" x14ac:dyDescent="0.25">
      <c r="E1" s="51" t="s">
        <v>138</v>
      </c>
      <c r="F1" s="51" t="s">
        <v>139</v>
      </c>
      <c r="G1" s="51" t="s">
        <v>140</v>
      </c>
      <c r="O1" s="52" t="str">
        <f>"Quadro de Composição do BDI"</f>
        <v>Quadro de Composição do BDI</v>
      </c>
      <c r="R1" s="583" t="s">
        <v>141</v>
      </c>
      <c r="S1" s="583"/>
    </row>
    <row r="2" spans="1:19" x14ac:dyDescent="0.2">
      <c r="A2" s="50" t="s">
        <v>142</v>
      </c>
      <c r="B2" s="54" t="s">
        <v>143</v>
      </c>
      <c r="C2" s="50" t="str">
        <f t="shared" ref="C2:C49" si="0">CONCATENATE(A2,"-",B2)</f>
        <v>Construção e Reforma de Edifícios-AC</v>
      </c>
      <c r="E2" s="55">
        <v>0.03</v>
      </c>
      <c r="F2" s="55">
        <v>0.04</v>
      </c>
      <c r="G2" s="55">
        <v>5.5E-2</v>
      </c>
      <c r="R2" s="584" t="s">
        <v>144</v>
      </c>
      <c r="S2" s="584"/>
    </row>
    <row r="3" spans="1:19" x14ac:dyDescent="0.2">
      <c r="A3" s="50" t="str">
        <f>A2</f>
        <v>Construção e Reforma de Edifícios</v>
      </c>
      <c r="B3" s="54" t="s">
        <v>145</v>
      </c>
      <c r="C3" s="50" t="str">
        <f t="shared" si="0"/>
        <v>Construção e Reforma de Edifícios-SG</v>
      </c>
      <c r="E3" s="55">
        <v>8.0000000000000002E-3</v>
      </c>
      <c r="F3" s="55">
        <v>8.0000000000000002E-3</v>
      </c>
      <c r="G3" s="55">
        <v>0.01</v>
      </c>
    </row>
    <row r="4" spans="1:19" x14ac:dyDescent="0.2">
      <c r="A4" s="50" t="str">
        <f>A3</f>
        <v>Construção e Reforma de Edifícios</v>
      </c>
      <c r="B4" s="54" t="s">
        <v>146</v>
      </c>
      <c r="C4" s="50" t="str">
        <f t="shared" si="0"/>
        <v>Construção e Reforma de Edifícios-R</v>
      </c>
      <c r="E4" s="55">
        <v>9.7000000000000003E-3</v>
      </c>
      <c r="F4" s="55">
        <v>1.2699999999999999E-2</v>
      </c>
      <c r="G4" s="55">
        <v>1.2699999999999999E-2</v>
      </c>
      <c r="J4" s="585" t="s">
        <v>147</v>
      </c>
      <c r="K4" s="585"/>
      <c r="L4" s="585" t="s">
        <v>148</v>
      </c>
      <c r="M4" s="585"/>
      <c r="N4" s="585" t="s">
        <v>149</v>
      </c>
      <c r="O4" s="585"/>
      <c r="P4" s="585"/>
      <c r="Q4" s="585"/>
      <c r="R4" s="585"/>
      <c r="S4" s="585"/>
    </row>
    <row r="5" spans="1:19" ht="12.75" customHeight="1" x14ac:dyDescent="0.2">
      <c r="A5" s="50" t="str">
        <f>A4</f>
        <v>Construção e Reforma de Edifícios</v>
      </c>
      <c r="B5" s="54" t="s">
        <v>150</v>
      </c>
      <c r="C5" s="50" t="str">
        <f t="shared" si="0"/>
        <v>Construção e Reforma de Edifícios-DF</v>
      </c>
      <c r="E5" s="55">
        <v>5.8999999999999999E-3</v>
      </c>
      <c r="F5" s="55">
        <v>1.23E-2</v>
      </c>
      <c r="G5" s="55">
        <v>1.3899999999999999E-2</v>
      </c>
      <c r="J5" s="582">
        <f>Import.CR</f>
        <v>0</v>
      </c>
      <c r="K5" s="582"/>
      <c r="L5" s="582">
        <f>Import.SICONV</f>
        <v>0</v>
      </c>
      <c r="M5" s="582"/>
      <c r="N5" s="582" t="str">
        <f>Import.Proponente</f>
        <v>Prefeitura Municipal de Caçapava do Sul</v>
      </c>
      <c r="O5" s="582"/>
      <c r="P5" s="582"/>
      <c r="Q5" s="582"/>
      <c r="R5" s="582"/>
      <c r="S5" s="582"/>
    </row>
    <row r="6" spans="1:19" x14ac:dyDescent="0.2">
      <c r="A6" s="50" t="str">
        <f>A5</f>
        <v>Construção e Reforma de Edifícios</v>
      </c>
      <c r="B6" s="54" t="s">
        <v>151</v>
      </c>
      <c r="C6" s="50" t="str">
        <f t="shared" si="0"/>
        <v>Construção e Reforma de Edifícios-L</v>
      </c>
      <c r="E6" s="55">
        <v>6.1600000000000002E-2</v>
      </c>
      <c r="F6" s="55">
        <v>7.400000000000001E-2</v>
      </c>
      <c r="G6" s="55">
        <v>8.9600000000000013E-2</v>
      </c>
      <c r="I6" s="611" t="s">
        <v>211</v>
      </c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5.5" x14ac:dyDescent="0.2">
      <c r="A7" s="50" t="str">
        <f>A6</f>
        <v>Construção e Reforma de Edifícios</v>
      </c>
      <c r="B7" s="59" t="s">
        <v>152</v>
      </c>
      <c r="C7" s="50" t="str">
        <f t="shared" si="0"/>
        <v>Construção e Reforma de Edifícios-BDI PAD</v>
      </c>
      <c r="E7" s="55">
        <v>0.2034</v>
      </c>
      <c r="F7" s="55">
        <v>0.22120000000000001</v>
      </c>
      <c r="G7" s="55">
        <v>0.25</v>
      </c>
      <c r="I7" s="611"/>
      <c r="J7" s="585" t="s">
        <v>153</v>
      </c>
      <c r="K7" s="585"/>
      <c r="L7" s="585"/>
      <c r="M7" s="585"/>
      <c r="N7" s="585"/>
      <c r="O7" s="585"/>
      <c r="P7" s="585"/>
      <c r="Q7" s="585"/>
      <c r="R7" s="585"/>
      <c r="S7" s="585"/>
    </row>
    <row r="8" spans="1:19" x14ac:dyDescent="0.2">
      <c r="A8" s="50" t="s">
        <v>154</v>
      </c>
      <c r="B8" s="54" t="s">
        <v>143</v>
      </c>
      <c r="C8" s="50" t="str">
        <f t="shared" si="0"/>
        <v>Construção de Praças Urbanas, Rodovias, Ferrovias e recapeamento e pavimentação de vias urbanas-AC</v>
      </c>
      <c r="E8" s="55">
        <v>3.7999999999999999E-2</v>
      </c>
      <c r="F8" s="55">
        <v>4.0099999999999997E-2</v>
      </c>
      <c r="G8" s="55">
        <v>4.6699999999999998E-2</v>
      </c>
      <c r="I8" s="611"/>
      <c r="J8" s="591" t="str">
        <f>Import.Apelido&amp;" / "&amp;Import.DescLote</f>
        <v>Calçamento da Rua Tomé Medeiros / Lote Único - Empreitada Preço Global</v>
      </c>
      <c r="K8" s="591"/>
      <c r="L8" s="591"/>
      <c r="M8" s="591"/>
      <c r="N8" s="591"/>
      <c r="O8" s="591"/>
      <c r="P8" s="591"/>
      <c r="Q8" s="591"/>
      <c r="R8" s="591"/>
      <c r="S8" s="591"/>
    </row>
    <row r="9" spans="1:19" x14ac:dyDescent="0.2">
      <c r="A9" s="50" t="s">
        <v>154</v>
      </c>
      <c r="B9" s="54" t="s">
        <v>145</v>
      </c>
      <c r="C9" s="50" t="str">
        <f t="shared" si="0"/>
        <v>Construção de Praças Urbanas, Rodovias, Ferrovias e recapeamento e pavimentação de vias urbanas-SG</v>
      </c>
      <c r="E9" s="55">
        <v>3.2000000000000002E-3</v>
      </c>
      <c r="F9" s="55">
        <v>4.0000000000000001E-3</v>
      </c>
      <c r="G9" s="55">
        <v>7.4000000000000003E-3</v>
      </c>
      <c r="I9" s="611"/>
      <c r="J9" s="58"/>
      <c r="K9" s="58"/>
      <c r="L9" s="58"/>
      <c r="M9" s="58"/>
      <c r="N9" s="58"/>
      <c r="O9" s="58"/>
      <c r="P9" s="58"/>
      <c r="Q9" s="58"/>
      <c r="R9" s="58"/>
      <c r="S9" s="58"/>
    </row>
    <row r="10" spans="1:19" ht="12.75" customHeight="1" x14ac:dyDescent="0.2">
      <c r="A10" s="50" t="s">
        <v>154</v>
      </c>
      <c r="B10" s="54" t="s">
        <v>146</v>
      </c>
      <c r="C10" s="50" t="str">
        <f t="shared" si="0"/>
        <v>Construção de Praças Urbanas, Rodovias, Ferrovias e recapeamento e pavimentação de vias urbanas-R</v>
      </c>
      <c r="E10" s="55">
        <v>5.0000000000000001E-3</v>
      </c>
      <c r="F10" s="55">
        <v>5.6000000000000008E-3</v>
      </c>
      <c r="G10" s="55">
        <v>9.7000000000000003E-3</v>
      </c>
      <c r="I10" s="611"/>
      <c r="J10" s="592" t="s">
        <v>155</v>
      </c>
      <c r="K10" s="592"/>
      <c r="L10" s="592"/>
      <c r="M10" s="592"/>
      <c r="N10" s="592"/>
      <c r="O10" s="592"/>
      <c r="P10" s="592"/>
      <c r="Q10" s="592"/>
      <c r="R10" s="590">
        <v>1</v>
      </c>
      <c r="S10" s="590"/>
    </row>
    <row r="11" spans="1:19" ht="12.75" customHeight="1" x14ac:dyDescent="0.2">
      <c r="A11" s="50" t="s">
        <v>154</v>
      </c>
      <c r="B11" s="54" t="s">
        <v>150</v>
      </c>
      <c r="C11" s="50" t="str">
        <f t="shared" si="0"/>
        <v>Construção de Praças Urbanas, Rodovias, Ferrovias e recapeamento e pavimentação de vias urbanas-DF</v>
      </c>
      <c r="E11" s="55">
        <v>1.0200000000000001E-2</v>
      </c>
      <c r="F11" s="55">
        <v>1.11E-2</v>
      </c>
      <c r="G11" s="55">
        <v>1.21E-2</v>
      </c>
      <c r="I11" s="108" t="s">
        <v>219</v>
      </c>
      <c r="J11" s="589" t="s">
        <v>156</v>
      </c>
      <c r="K11" s="589"/>
      <c r="L11" s="589"/>
      <c r="M11" s="589"/>
      <c r="N11" s="589"/>
      <c r="O11" s="589"/>
      <c r="P11" s="589"/>
      <c r="Q11" s="589"/>
      <c r="R11" s="590">
        <v>0.03</v>
      </c>
      <c r="S11" s="590"/>
    </row>
    <row r="12" spans="1:19" x14ac:dyDescent="0.2">
      <c r="A12" s="50" t="s">
        <v>154</v>
      </c>
      <c r="B12" s="54" t="s">
        <v>151</v>
      </c>
      <c r="C12" s="50" t="str">
        <f t="shared" si="0"/>
        <v>Construção de Praças Urbanas, Rodovias, Ferrovias e recapeamento e pavimentação de vias urbanas-L</v>
      </c>
      <c r="E12" s="55">
        <v>6.6400000000000001E-2</v>
      </c>
      <c r="F12" s="55">
        <v>7.2999999999999995E-2</v>
      </c>
      <c r="G12" s="55">
        <v>8.6899999999999991E-2</v>
      </c>
      <c r="I12" t="s">
        <v>248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1:19" ht="25.5" x14ac:dyDescent="0.2">
      <c r="A13" s="50" t="s">
        <v>154</v>
      </c>
      <c r="B13" s="59" t="s">
        <v>152</v>
      </c>
      <c r="C13" s="50" t="str">
        <f t="shared" si="0"/>
        <v>Construção de Praças Urbanas, Rodovias, Ferrovias e recapeamento e pavimentação de vias urbanas-BDI PAD</v>
      </c>
      <c r="E13" s="55">
        <v>0.19600000000000001</v>
      </c>
      <c r="F13" s="55">
        <v>0.2097</v>
      </c>
      <c r="G13" s="55">
        <v>0.24230000000000002</v>
      </c>
      <c r="I13" t="s">
        <v>248</v>
      </c>
    </row>
    <row r="14" spans="1:19" ht="15.75" x14ac:dyDescent="0.25">
      <c r="A14" s="50" t="s">
        <v>157</v>
      </c>
      <c r="B14" s="54" t="s">
        <v>143</v>
      </c>
      <c r="C14" s="50" t="str">
        <f t="shared" si="0"/>
        <v>Construção de Redes de Abastecimento de Água, Coleta de Esgoto-AC</v>
      </c>
      <c r="E14" s="55">
        <v>3.4300000000000004E-2</v>
      </c>
      <c r="F14" s="55">
        <v>4.9299999999999997E-2</v>
      </c>
      <c r="G14" s="55">
        <v>6.7099999999999993E-2</v>
      </c>
      <c r="I14" t="s">
        <v>248</v>
      </c>
      <c r="J14" s="603" t="s">
        <v>158</v>
      </c>
      <c r="K14" s="603"/>
      <c r="L14" s="603"/>
      <c r="M14" s="603"/>
      <c r="N14" s="603"/>
      <c r="O14" s="603"/>
      <c r="P14" s="603"/>
      <c r="Q14" s="603"/>
      <c r="R14" s="603"/>
      <c r="S14" s="603"/>
    </row>
    <row r="15" spans="1:19" x14ac:dyDescent="0.2">
      <c r="A15" s="50" t="str">
        <f>A14</f>
        <v>Construção de Redes de Abastecimento de Água, Coleta de Esgoto</v>
      </c>
      <c r="B15" s="54" t="s">
        <v>145</v>
      </c>
      <c r="C15" s="50" t="str">
        <f t="shared" si="0"/>
        <v>Construção de Redes de Abastecimento de Água, Coleta de Esgoto-SG</v>
      </c>
      <c r="E15" s="55">
        <v>2.8000000000000004E-3</v>
      </c>
      <c r="F15" s="55">
        <v>4.8999999999999998E-3</v>
      </c>
      <c r="G15" s="55">
        <v>7.4999999999999997E-3</v>
      </c>
      <c r="I15" t="s">
        <v>248</v>
      </c>
    </row>
    <row r="16" spans="1:19" x14ac:dyDescent="0.2">
      <c r="A16" s="50" t="str">
        <f>A15</f>
        <v>Construção de Redes de Abastecimento de Água, Coleta de Esgoto</v>
      </c>
      <c r="B16" s="54" t="s">
        <v>146</v>
      </c>
      <c r="C16" s="50" t="str">
        <f t="shared" si="0"/>
        <v>Construção de Redes de Abastecimento de Água, Coleta de Esgoto-R</v>
      </c>
      <c r="E16" s="55">
        <v>0.01</v>
      </c>
      <c r="F16" s="55">
        <v>1.3899999999999999E-2</v>
      </c>
      <c r="G16" s="55">
        <v>1.7399999999999999E-2</v>
      </c>
      <c r="I16" t="s">
        <v>248</v>
      </c>
      <c r="J16" s="585" t="s">
        <v>159</v>
      </c>
      <c r="K16" s="585"/>
      <c r="L16" s="585"/>
      <c r="M16" s="585"/>
      <c r="N16" s="585"/>
      <c r="O16" s="585"/>
      <c r="P16" s="585"/>
      <c r="Q16" s="585"/>
      <c r="R16" s="585"/>
      <c r="S16" s="585"/>
    </row>
    <row r="17" spans="1:26" x14ac:dyDescent="0.2">
      <c r="A17" s="50" t="str">
        <f>A16</f>
        <v>Construção de Redes de Abastecimento de Água, Coleta de Esgoto</v>
      </c>
      <c r="B17" s="54" t="s">
        <v>150</v>
      </c>
      <c r="C17" s="50" t="str">
        <f t="shared" si="0"/>
        <v>Construção de Redes de Abastecimento de Água, Coleta de Esgoto-DF</v>
      </c>
      <c r="E17" s="55">
        <v>9.3999999999999986E-3</v>
      </c>
      <c r="F17" s="55">
        <v>9.8999999999999991E-3</v>
      </c>
      <c r="G17" s="55">
        <v>1.1699999999999999E-2</v>
      </c>
      <c r="I17" t="s">
        <v>248</v>
      </c>
      <c r="J17" s="595" t="s">
        <v>154</v>
      </c>
      <c r="K17" s="595"/>
      <c r="L17" s="595"/>
      <c r="M17" s="595"/>
      <c r="N17" s="595"/>
      <c r="O17" s="595"/>
      <c r="P17" s="595"/>
      <c r="Q17" s="595"/>
      <c r="R17" s="595"/>
      <c r="S17" s="595"/>
    </row>
    <row r="18" spans="1:26" x14ac:dyDescent="0.2">
      <c r="A18" s="50" t="str">
        <f>A17</f>
        <v>Construção de Redes de Abastecimento de Água, Coleta de Esgoto</v>
      </c>
      <c r="B18" s="54" t="s">
        <v>151</v>
      </c>
      <c r="C18" s="50" t="str">
        <f t="shared" si="0"/>
        <v>Construção de Redes de Abastecimento de Água, Coleta de Esgoto-L</v>
      </c>
      <c r="E18" s="55">
        <v>6.7400000000000002E-2</v>
      </c>
      <c r="F18" s="55">
        <v>8.0399999999999985E-2</v>
      </c>
      <c r="G18" s="55">
        <v>9.4E-2</v>
      </c>
      <c r="I18" t="s">
        <v>248</v>
      </c>
    </row>
    <row r="19" spans="1:26" ht="12.75" customHeight="1" x14ac:dyDescent="0.2">
      <c r="A19" s="50" t="str">
        <f>A18</f>
        <v>Construção de Redes de Abastecimento de Água, Coleta de Esgoto</v>
      </c>
      <c r="B19" s="59" t="s">
        <v>152</v>
      </c>
      <c r="C19" s="50" t="str">
        <f t="shared" si="0"/>
        <v>Construção de Redes de Abastecimento de Água, Coleta de Esgoto-BDI PAD</v>
      </c>
      <c r="E19" s="55">
        <v>0.20760000000000001</v>
      </c>
      <c r="F19" s="55">
        <v>0.24179999999999999</v>
      </c>
      <c r="G19" s="55">
        <v>0.26440000000000002</v>
      </c>
      <c r="I19" t="s">
        <v>248</v>
      </c>
      <c r="J19" s="588" t="s">
        <v>160</v>
      </c>
      <c r="K19" s="588"/>
      <c r="L19" s="588"/>
      <c r="M19" s="588"/>
      <c r="N19" s="588"/>
      <c r="O19" s="588"/>
      <c r="P19" s="588"/>
      <c r="Q19" s="588"/>
      <c r="R19" s="588" t="s">
        <v>161</v>
      </c>
      <c r="S19" s="587" t="s">
        <v>162</v>
      </c>
      <c r="U19" s="587" t="s">
        <v>163</v>
      </c>
      <c r="V19" s="587"/>
      <c r="W19" s="587"/>
      <c r="X19" s="586" t="s">
        <v>164</v>
      </c>
      <c r="Y19" s="586" t="s">
        <v>165</v>
      </c>
      <c r="Z19" s="586" t="s">
        <v>166</v>
      </c>
    </row>
    <row r="20" spans="1:26" ht="12.75" customHeight="1" x14ac:dyDescent="0.2">
      <c r="A20" s="50" t="s">
        <v>167</v>
      </c>
      <c r="B20" s="54" t="s">
        <v>143</v>
      </c>
      <c r="C20" s="50" t="str">
        <f t="shared" si="0"/>
        <v>Construção e Manutenção de Estações e Redes de Distribuição de Energia Elétrica-AC</v>
      </c>
      <c r="E20" s="55">
        <v>5.2900000000000003E-2</v>
      </c>
      <c r="F20" s="55">
        <v>5.9200000000000003E-2</v>
      </c>
      <c r="G20" s="55">
        <v>7.9299999999999995E-2</v>
      </c>
      <c r="I20" t="s">
        <v>248</v>
      </c>
      <c r="J20" s="588"/>
      <c r="K20" s="588"/>
      <c r="L20" s="588"/>
      <c r="M20" s="588"/>
      <c r="N20" s="588"/>
      <c r="O20" s="588"/>
      <c r="P20" s="588"/>
      <c r="Q20" s="588"/>
      <c r="R20" s="588"/>
      <c r="S20" s="587"/>
      <c r="U20" s="587"/>
      <c r="V20" s="587"/>
      <c r="W20" s="587"/>
      <c r="X20" s="586"/>
      <c r="Y20" s="586"/>
      <c r="Z20" s="586"/>
    </row>
    <row r="21" spans="1:26" ht="15" customHeight="1" x14ac:dyDescent="0.2">
      <c r="A21" s="50" t="str">
        <f>A20</f>
        <v>Construção e Manutenção de Estações e Redes de Distribuição de Energia Elétrica</v>
      </c>
      <c r="B21" s="54" t="s">
        <v>145</v>
      </c>
      <c r="C21" s="50" t="str">
        <f t="shared" si="0"/>
        <v>Construção e Manutenção de Estações e Redes de Distribuição de Energia Elétrica-SG</v>
      </c>
      <c r="E21" s="55">
        <v>2.5000000000000001E-3</v>
      </c>
      <c r="F21" s="55">
        <v>5.1000000000000004E-3</v>
      </c>
      <c r="G21" s="55">
        <v>5.6000000000000008E-3</v>
      </c>
      <c r="I21" t="s">
        <v>248</v>
      </c>
      <c r="J21" s="593" t="str">
        <f>IF($J$17=$A$146,"Encargos Sociais incidentes sobre a mão de obra","Administração Central")</f>
        <v>Administração Central</v>
      </c>
      <c r="K21" s="593"/>
      <c r="L21" s="593"/>
      <c r="M21" s="593"/>
      <c r="N21" s="593"/>
      <c r="O21" s="593"/>
      <c r="P21" s="593"/>
      <c r="Q21" s="593"/>
      <c r="R21" s="61" t="str">
        <f>IF($J17=$A$146,"K1","AC")</f>
        <v>AC</v>
      </c>
      <c r="S21" s="62">
        <v>4.0099999999999997E-2</v>
      </c>
      <c r="U21" s="594" t="s">
        <v>168</v>
      </c>
      <c r="V21" s="594"/>
      <c r="W21" s="594"/>
      <c r="X21" s="63">
        <f>VLOOKUP(CONCATENATE(J17,"-",R21),$C$2:$G$136,3,FALSE)</f>
        <v>3.7999999999999999E-2</v>
      </c>
      <c r="Y21" s="63">
        <f>VLOOKUP(CONCATENATE(J17,"-",R21),$C$2:$G$136,4,FALSE)</f>
        <v>4.0099999999999997E-2</v>
      </c>
      <c r="Z21" s="63">
        <f>VLOOKUP(CONCATENATE(J17,"-",R21),$C$2:$G$136,5,FALSE)</f>
        <v>4.6699999999999998E-2</v>
      </c>
    </row>
    <row r="22" spans="1:26" ht="15" customHeight="1" x14ac:dyDescent="0.2">
      <c r="A22" s="50" t="str">
        <f>A21</f>
        <v>Construção e Manutenção de Estações e Redes de Distribuição de Energia Elétrica</v>
      </c>
      <c r="B22" s="54" t="s">
        <v>146</v>
      </c>
      <c r="C22" s="50" t="str">
        <f t="shared" si="0"/>
        <v>Construção e Manutenção de Estações e Redes de Distribuição de Energia Elétrica-R</v>
      </c>
      <c r="E22" s="55">
        <v>0.01</v>
      </c>
      <c r="F22" s="55">
        <v>1.4800000000000001E-2</v>
      </c>
      <c r="G22" s="55">
        <v>1.9699999999999999E-2</v>
      </c>
      <c r="I22" t="s">
        <v>248</v>
      </c>
      <c r="J22" s="593" t="str">
        <f>IF($J$17=$A$146,"Administração Central da empresa ou consultoria - overhead","Seguro e Garantia")</f>
        <v>Seguro e Garantia</v>
      </c>
      <c r="K22" s="593"/>
      <c r="L22" s="593"/>
      <c r="M22" s="593"/>
      <c r="N22" s="593"/>
      <c r="O22" s="593"/>
      <c r="P22" s="593"/>
      <c r="Q22" s="593"/>
      <c r="R22" s="61" t="str">
        <f>IF($J17=$A$146,"K2","SG")</f>
        <v>SG</v>
      </c>
      <c r="S22" s="62">
        <v>7.4000000000000003E-3</v>
      </c>
      <c r="U22" s="594" t="s">
        <v>168</v>
      </c>
      <c r="V22" s="594"/>
      <c r="W22" s="594"/>
      <c r="X22" s="63">
        <f>VLOOKUP(CONCATENATE(J17,"-",R22),$C$2:$G$136,3,FALSE)</f>
        <v>3.2000000000000002E-3</v>
      </c>
      <c r="Y22" s="63">
        <f>VLOOKUP(CONCATENATE(J17,"-",R22),$C$2:$G$136,4,FALSE)</f>
        <v>4.0000000000000001E-3</v>
      </c>
      <c r="Z22" s="63">
        <f>VLOOKUP(CONCATENATE(J17,"-",R22),$C$2:$G$136,5,FALSE)</f>
        <v>7.4000000000000003E-3</v>
      </c>
    </row>
    <row r="23" spans="1:26" ht="15" customHeight="1" x14ac:dyDescent="0.2">
      <c r="A23" s="50" t="str">
        <f>A22</f>
        <v>Construção e Manutenção de Estações e Redes de Distribuição de Energia Elétrica</v>
      </c>
      <c r="B23" s="54" t="s">
        <v>150</v>
      </c>
      <c r="C23" s="50" t="str">
        <f t="shared" si="0"/>
        <v>Construção e Manutenção de Estações e Redes de Distribuição de Energia Elétrica-DF</v>
      </c>
      <c r="E23" s="55">
        <v>1.01E-2</v>
      </c>
      <c r="F23" s="55">
        <v>1.0700000000000001E-2</v>
      </c>
      <c r="G23" s="55">
        <v>1.11E-2</v>
      </c>
      <c r="I23" t="s">
        <v>248</v>
      </c>
      <c r="J23" s="593" t="str">
        <f>IF($J$17=$A$146,"","Risco")</f>
        <v>Risco</v>
      </c>
      <c r="K23" s="593"/>
      <c r="L23" s="593"/>
      <c r="M23" s="593"/>
      <c r="N23" s="593"/>
      <c r="O23" s="593"/>
      <c r="P23" s="593"/>
      <c r="Q23" s="593"/>
      <c r="R23" s="61" t="str">
        <f>IF($J17=$A$146,"","R")</f>
        <v>R</v>
      </c>
      <c r="S23" s="62">
        <v>9.7000000000000003E-3</v>
      </c>
      <c r="U23" s="594" t="s">
        <v>168</v>
      </c>
      <c r="V23" s="594"/>
      <c r="W23" s="594"/>
      <c r="X23" s="63">
        <f>VLOOKUP(CONCATENATE(J17,"-",R23),$C$2:$G$136,3,FALSE)</f>
        <v>5.0000000000000001E-3</v>
      </c>
      <c r="Y23" s="63">
        <f>VLOOKUP(CONCATENATE(J17,"-",R23),$C$2:$G$136,4,FALSE)</f>
        <v>5.6000000000000008E-3</v>
      </c>
      <c r="Z23" s="63">
        <f>VLOOKUP(CONCATENATE(J17,"-",R23),$C$2:$G$136,5,FALSE)</f>
        <v>9.7000000000000003E-3</v>
      </c>
    </row>
    <row r="24" spans="1:26" ht="15" customHeight="1" x14ac:dyDescent="0.2">
      <c r="A24" s="50" t="str">
        <f>A23</f>
        <v>Construção e Manutenção de Estações e Redes de Distribuição de Energia Elétrica</v>
      </c>
      <c r="B24" s="54" t="s">
        <v>151</v>
      </c>
      <c r="C24" s="50" t="str">
        <f t="shared" si="0"/>
        <v>Construção e Manutenção de Estações e Redes de Distribuição de Energia Elétrica-L</v>
      </c>
      <c r="E24" s="55">
        <v>0.08</v>
      </c>
      <c r="F24" s="55">
        <v>8.3100000000000007E-2</v>
      </c>
      <c r="G24" s="55">
        <v>9.5100000000000004E-2</v>
      </c>
      <c r="I24" t="s">
        <v>248</v>
      </c>
      <c r="J24" s="593" t="str">
        <f>IF($J$17=$A$146,"","Despesas Financeiras")</f>
        <v>Despesas Financeiras</v>
      </c>
      <c r="K24" s="593"/>
      <c r="L24" s="593"/>
      <c r="M24" s="593"/>
      <c r="N24" s="593"/>
      <c r="O24" s="593"/>
      <c r="P24" s="593"/>
      <c r="Q24" s="593"/>
      <c r="R24" s="61" t="str">
        <f>IF($J17=$A$146,"","DF")</f>
        <v>DF</v>
      </c>
      <c r="S24" s="62">
        <v>1.11E-2</v>
      </c>
      <c r="U24" s="594" t="s">
        <v>168</v>
      </c>
      <c r="V24" s="594"/>
      <c r="W24" s="594"/>
      <c r="X24" s="63">
        <f>VLOOKUP(CONCATENATE(J17,"-",R24),$C$2:$G$136,3,FALSE)</f>
        <v>1.0200000000000001E-2</v>
      </c>
      <c r="Y24" s="63">
        <f>VLOOKUP(CONCATENATE(J17,"-",R24),$C$2:$G$136,4,FALSE)</f>
        <v>1.11E-2</v>
      </c>
      <c r="Z24" s="63">
        <f>VLOOKUP(CONCATENATE(J17,"-",R24),$C$2:$G$136,5,FALSE)</f>
        <v>1.21E-2</v>
      </c>
    </row>
    <row r="25" spans="1:26" ht="15" customHeight="1" x14ac:dyDescent="0.2">
      <c r="A25" s="50" t="str">
        <f>A24</f>
        <v>Construção e Manutenção de Estações e Redes de Distribuição de Energia Elétrica</v>
      </c>
      <c r="B25" s="59" t="s">
        <v>152</v>
      </c>
      <c r="C25" s="50" t="str">
        <f t="shared" si="0"/>
        <v>Construção e Manutenção de Estações e Redes de Distribuição de Energia Elétrica-BDI PAD</v>
      </c>
      <c r="E25" s="55">
        <v>0.24</v>
      </c>
      <c r="F25" s="55">
        <v>0.25840000000000002</v>
      </c>
      <c r="G25" s="55">
        <v>0.27860000000000001</v>
      </c>
      <c r="I25" t="s">
        <v>248</v>
      </c>
      <c r="J25" s="593" t="str">
        <f>IF($J$17=$A$146,"Margem bruta da empresa de consultoria","Lucro")</f>
        <v>Lucro</v>
      </c>
      <c r="K25" s="593"/>
      <c r="L25" s="593"/>
      <c r="M25" s="593"/>
      <c r="N25" s="593"/>
      <c r="O25" s="593"/>
      <c r="P25" s="593"/>
      <c r="Q25" s="593"/>
      <c r="R25" s="61" t="str">
        <f>IF($J17=$A$146,"K3","L")</f>
        <v>L</v>
      </c>
      <c r="S25" s="62">
        <v>7.2999999999999995E-2</v>
      </c>
      <c r="U25" s="594" t="s">
        <v>168</v>
      </c>
      <c r="V25" s="594"/>
      <c r="W25" s="594"/>
      <c r="X25" s="63">
        <f>VLOOKUP(CONCATENATE(J17,"-",R25),$C$2:$G$136,3,FALSE)</f>
        <v>6.6400000000000001E-2</v>
      </c>
      <c r="Y25" s="63">
        <f>VLOOKUP(CONCATENATE(J17,"-",R25),$C$2:$G$136,4,FALSE)</f>
        <v>7.2999999999999995E-2</v>
      </c>
      <c r="Z25" s="63">
        <f>VLOOKUP(CONCATENATE(J17,"-",R25),$C$2:$G$136,5,FALSE)</f>
        <v>8.6899999999999991E-2</v>
      </c>
    </row>
    <row r="26" spans="1:26" ht="15" customHeight="1" x14ac:dyDescent="0.2">
      <c r="A26" s="50" t="s">
        <v>169</v>
      </c>
      <c r="B26" s="54" t="s">
        <v>143</v>
      </c>
      <c r="C26" s="50" t="str">
        <f t="shared" si="0"/>
        <v>Obras Portuárias, Marítimas e Fluviais-AC</v>
      </c>
      <c r="E26" s="55">
        <v>0.04</v>
      </c>
      <c r="F26" s="55">
        <v>5.5199999999999999E-2</v>
      </c>
      <c r="G26" s="55">
        <v>7.85E-2</v>
      </c>
      <c r="I26" t="s">
        <v>248</v>
      </c>
      <c r="J26" s="593" t="s">
        <v>170</v>
      </c>
      <c r="K26" s="593"/>
      <c r="L26" s="593"/>
      <c r="M26" s="593"/>
      <c r="N26" s="593"/>
      <c r="O26" s="593"/>
      <c r="P26" s="593"/>
      <c r="Q26" s="593"/>
      <c r="R26" s="61" t="s">
        <v>171</v>
      </c>
      <c r="S26" s="62">
        <v>3.6499999999999998E-2</v>
      </c>
      <c r="U26" s="594" t="s">
        <v>168</v>
      </c>
      <c r="V26" s="594"/>
      <c r="W26" s="594"/>
      <c r="X26" s="63">
        <v>3.6499999999999998E-2</v>
      </c>
      <c r="Y26" s="63">
        <v>3.6499999999999998E-2</v>
      </c>
      <c r="Z26" s="63">
        <v>3.6499999999999998E-2</v>
      </c>
    </row>
    <row r="27" spans="1:26" ht="15" customHeight="1" x14ac:dyDescent="0.2">
      <c r="A27" s="50" t="str">
        <f>A26</f>
        <v>Obras Portuárias, Marítimas e Fluviais</v>
      </c>
      <c r="B27" s="54" t="s">
        <v>145</v>
      </c>
      <c r="C27" s="50" t="str">
        <f t="shared" si="0"/>
        <v>Obras Portuárias, Marítimas e Fluviais-SG</v>
      </c>
      <c r="E27" s="55">
        <v>8.1000000000000013E-3</v>
      </c>
      <c r="F27" s="55">
        <v>1.2199999999999999E-2</v>
      </c>
      <c r="G27" s="55">
        <v>1.9900000000000001E-2</v>
      </c>
      <c r="I27" t="s">
        <v>248</v>
      </c>
      <c r="J27" s="593" t="s">
        <v>172</v>
      </c>
      <c r="K27" s="593"/>
      <c r="L27" s="593"/>
      <c r="M27" s="593"/>
      <c r="N27" s="593"/>
      <c r="O27" s="593"/>
      <c r="P27" s="593"/>
      <c r="Q27" s="593"/>
      <c r="R27" s="61" t="s">
        <v>173</v>
      </c>
      <c r="S27" s="63">
        <f ca="1">IF(AND($J17&lt;&gt;$A$145,COUNTA(OFFSET(S20,1,0,6))&gt;0),$R$11*$R$10,0)</f>
        <v>0.03</v>
      </c>
      <c r="U27" s="594" t="s">
        <v>168</v>
      </c>
      <c r="V27" s="594"/>
      <c r="W27" s="594"/>
      <c r="X27" s="63">
        <v>0</v>
      </c>
      <c r="Y27" s="63">
        <v>2.5000000000000001E-2</v>
      </c>
      <c r="Z27" s="63">
        <v>0.05</v>
      </c>
    </row>
    <row r="28" spans="1:26" ht="15" customHeight="1" x14ac:dyDescent="0.2">
      <c r="A28" s="50" t="str">
        <f>A27</f>
        <v>Obras Portuárias, Marítimas e Fluviais</v>
      </c>
      <c r="B28" s="54" t="s">
        <v>146</v>
      </c>
      <c r="C28" s="50" t="str">
        <f t="shared" si="0"/>
        <v>Obras Portuárias, Marítimas e Fluviais-R</v>
      </c>
      <c r="E28" s="55">
        <v>1.46E-2</v>
      </c>
      <c r="F28" s="55">
        <v>2.3199999999999998E-2</v>
      </c>
      <c r="G28" s="55">
        <v>3.1600000000000003E-2</v>
      </c>
      <c r="I28" t="s">
        <v>248</v>
      </c>
      <c r="J28" s="593" t="s">
        <v>174</v>
      </c>
      <c r="K28" s="593"/>
      <c r="L28" s="593"/>
      <c r="M28" s="593"/>
      <c r="N28" s="593"/>
      <c r="O28" s="593"/>
      <c r="P28" s="593"/>
      <c r="Q28" s="593"/>
      <c r="R28" s="61" t="s">
        <v>175</v>
      </c>
      <c r="S28" s="63">
        <f ca="1">IF(BDI.Opcao&lt;&gt;"Desonerado",0,IF(AND($J17&lt;&gt;$A$145,COUNTA(OFFSET(S20,1,0,6))&gt;0),4.5%,0%))</f>
        <v>0</v>
      </c>
      <c r="U28" s="594" t="s">
        <v>168</v>
      </c>
      <c r="V28" s="594"/>
      <c r="W28" s="594"/>
      <c r="X28" s="64">
        <v>0</v>
      </c>
      <c r="Y28" s="64">
        <v>4.4999999999999998E-2</v>
      </c>
      <c r="Z28" s="64">
        <v>4.4999999999999998E-2</v>
      </c>
    </row>
    <row r="29" spans="1:26" ht="15" customHeight="1" x14ac:dyDescent="0.2">
      <c r="A29" s="50" t="str">
        <f>A28</f>
        <v>Obras Portuárias, Marítimas e Fluviais</v>
      </c>
      <c r="B29" s="54" t="s">
        <v>150</v>
      </c>
      <c r="C29" s="50" t="str">
        <f t="shared" si="0"/>
        <v>Obras Portuárias, Marítimas e Fluviais-DF</v>
      </c>
      <c r="E29" s="55">
        <v>9.3999999999999986E-3</v>
      </c>
      <c r="F29" s="55">
        <v>1.0200000000000001E-2</v>
      </c>
      <c r="G29" s="55">
        <v>1.3300000000000001E-2</v>
      </c>
      <c r="I29" t="s">
        <v>248</v>
      </c>
      <c r="J29" s="593" t="s">
        <v>176</v>
      </c>
      <c r="K29" s="593"/>
      <c r="L29" s="593"/>
      <c r="M29" s="593"/>
      <c r="N29" s="593"/>
      <c r="O29" s="593"/>
      <c r="P29" s="593"/>
      <c r="Q29" s="593"/>
      <c r="R29" s="65" t="s">
        <v>152</v>
      </c>
      <c r="S29" s="63">
        <f ca="1">IF($J17=$A$145,0,ROUND((((1+S21+S22+S23)*(1+S24)*(1+S25)/(1-(S26+S27)))-1),4))</f>
        <v>0.22869999999999999</v>
      </c>
      <c r="U29" s="587" t="str">
        <f ca="1">IF(OR($J$17=$A$146,$J$17=$A$145,AND(S29&gt;=X29,S29&lt;=Z29)),"OK","FORA DO INTERVALO")</f>
        <v>OK</v>
      </c>
      <c r="V29" s="587"/>
      <c r="W29" s="587"/>
      <c r="X29" s="63">
        <f>IF($J17=$A$145,0,VLOOKUP(CONCATENATE($J17,"-",$R29),$C$2:$G$136,3,FALSE))</f>
        <v>0.19600000000000001</v>
      </c>
      <c r="Y29" s="63">
        <f>IF($J17=$A$145,0,VLOOKUP(CONCATENATE($J17,"-",$R29),$C$2:$G$136,4,FALSE))</f>
        <v>0.2097</v>
      </c>
      <c r="Z29" s="63">
        <f>IF($J17=$A$145,0,VLOOKUP(CONCATENATE($J17,"-",$R29),$C$2:$G$136,5,FALSE))</f>
        <v>0.24230000000000002</v>
      </c>
    </row>
    <row r="30" spans="1:26" ht="15" customHeight="1" x14ac:dyDescent="0.2">
      <c r="A30" s="50" t="str">
        <f>A29</f>
        <v>Obras Portuárias, Marítimas e Fluviais</v>
      </c>
      <c r="B30" s="54" t="s">
        <v>151</v>
      </c>
      <c r="C30" s="50" t="str">
        <f t="shared" si="0"/>
        <v>Obras Portuárias, Marítimas e Fluviais-L</v>
      </c>
      <c r="E30" s="55">
        <v>7.1399999999999991E-2</v>
      </c>
      <c r="F30" s="55">
        <v>8.4000000000000005E-2</v>
      </c>
      <c r="G30" s="55">
        <v>0.1043</v>
      </c>
      <c r="I30" t="s">
        <v>248</v>
      </c>
      <c r="J30" s="598" t="s">
        <v>177</v>
      </c>
      <c r="K30" s="598"/>
      <c r="L30" s="598"/>
      <c r="M30" s="598"/>
      <c r="N30" s="598"/>
      <c r="O30" s="598"/>
      <c r="P30" s="598"/>
      <c r="Q30" s="598"/>
      <c r="R30" s="66" t="s">
        <v>178</v>
      </c>
      <c r="S30" s="67">
        <f ca="1">IF($J17=$A$145,0,ROUND((((1+S21+S22+S23)*(1+S24)*(1+S25)/(1-(S26+S27+S28)))-1),4))</f>
        <v>0.22869999999999999</v>
      </c>
    </row>
    <row r="31" spans="1:26" ht="25.5" x14ac:dyDescent="0.2">
      <c r="A31" s="50" t="str">
        <f>A30</f>
        <v>Obras Portuárias, Marítimas e Fluviais</v>
      </c>
      <c r="B31" s="59" t="s">
        <v>152</v>
      </c>
      <c r="C31" s="50" t="str">
        <f t="shared" si="0"/>
        <v>Obras Portuárias, Marítimas e Fluviais-BDI PAD</v>
      </c>
      <c r="E31" s="55">
        <v>0.22800000000000001</v>
      </c>
      <c r="F31" s="55">
        <v>0.27479999999999999</v>
      </c>
      <c r="G31" s="55">
        <v>0.3095</v>
      </c>
      <c r="I31" t="s">
        <v>248</v>
      </c>
    </row>
    <row r="32" spans="1:26" ht="15.75" x14ac:dyDescent="0.2">
      <c r="A32" s="50" t="s">
        <v>179</v>
      </c>
      <c r="B32" s="54" t="s">
        <v>143</v>
      </c>
      <c r="C32" s="50" t="str">
        <f t="shared" si="0"/>
        <v>Fornecimento de Materiais e Equipamentos (aquisição indireta - em conjunto com licitação de obras)-AC</v>
      </c>
      <c r="E32" s="55">
        <v>1.4999999999999999E-2</v>
      </c>
      <c r="F32" s="55">
        <v>3.4500000000000003E-2</v>
      </c>
      <c r="G32" s="55">
        <v>4.4900000000000002E-2</v>
      </c>
      <c r="I32" t="s">
        <v>248</v>
      </c>
      <c r="J32" s="68" t="str">
        <f ca="1">IF(U29&lt;&gt;"ok","X","")</f>
        <v/>
      </c>
      <c r="K32" s="599" t="str">
        <f ca="1">IF(U29&lt;&gt;"ok","Anexo: Relatório Técnico Circunstanciado justificando a adoção do percentual de cada parcela do BDI.","")</f>
        <v/>
      </c>
      <c r="L32" s="599"/>
      <c r="M32" s="599"/>
      <c r="N32" s="599"/>
      <c r="O32" s="599"/>
      <c r="P32" s="599"/>
      <c r="Q32" s="599"/>
      <c r="R32" s="599"/>
      <c r="S32" s="599"/>
    </row>
    <row r="33" spans="1:19" x14ac:dyDescent="0.2">
      <c r="A33" s="50" t="str">
        <f>A32</f>
        <v>Fornecimento de Materiais e Equipamentos (aquisição indireta - em conjunto com licitação de obras)</v>
      </c>
      <c r="B33" s="54" t="s">
        <v>145</v>
      </c>
      <c r="C33" s="50" t="str">
        <f t="shared" si="0"/>
        <v>Fornecimento de Materiais e Equipamentos (aquisição indireta - em conjunto com licitação de obras)-SG</v>
      </c>
      <c r="E33" s="55">
        <v>3.0000000000000001E-3</v>
      </c>
      <c r="F33" s="55">
        <v>4.7999999999999996E-3</v>
      </c>
      <c r="G33" s="55">
        <v>8.199999999999999E-3</v>
      </c>
      <c r="I33" t="s">
        <v>248</v>
      </c>
    </row>
    <row r="34" spans="1:19" x14ac:dyDescent="0.2">
      <c r="A34" s="50" t="str">
        <f>A33</f>
        <v>Fornecimento de Materiais e Equipamentos (aquisição indireta - em conjunto com licitação de obras)</v>
      </c>
      <c r="B34" s="54" t="s">
        <v>146</v>
      </c>
      <c r="C34" s="50" t="str">
        <f t="shared" si="0"/>
        <v>Fornecimento de Materiais e Equipamentos (aquisição indireta - em conjunto com licitação de obras)-R</v>
      </c>
      <c r="E34" s="55">
        <v>5.6000000000000008E-3</v>
      </c>
      <c r="F34" s="55">
        <v>8.5000000000000006E-3</v>
      </c>
      <c r="G34" s="55">
        <v>8.8999999999999999E-3</v>
      </c>
      <c r="I34" t="s">
        <v>248</v>
      </c>
      <c r="J34" s="600" t="s">
        <v>180</v>
      </c>
      <c r="K34" s="600"/>
      <c r="L34" s="600"/>
      <c r="M34" s="600"/>
      <c r="N34" s="600"/>
      <c r="O34" s="600"/>
      <c r="P34" s="600"/>
      <c r="Q34" s="600"/>
      <c r="R34" s="600"/>
      <c r="S34" s="600"/>
    </row>
    <row r="35" spans="1:19" ht="15.75" x14ac:dyDescent="0.25">
      <c r="A35" s="50" t="str">
        <f>A34</f>
        <v>Fornecimento de Materiais e Equipamentos (aquisição indireta - em conjunto com licitação de obras)</v>
      </c>
      <c r="B35" s="54" t="s">
        <v>150</v>
      </c>
      <c r="C35" s="50" t="str">
        <f t="shared" si="0"/>
        <v>Fornecimento de Materiais e Equipamentos (aquisição indireta - em conjunto com licitação de obras)-DF</v>
      </c>
      <c r="E35" s="55">
        <v>8.5000000000000006E-3</v>
      </c>
      <c r="F35" s="55">
        <v>8.5000000000000006E-3</v>
      </c>
      <c r="G35" s="55">
        <v>1.11E-2</v>
      </c>
      <c r="I35" t="s">
        <v>248</v>
      </c>
      <c r="J35" s="69"/>
      <c r="K35" s="69"/>
      <c r="L35" s="69"/>
      <c r="M35" s="601" t="s">
        <v>181</v>
      </c>
      <c r="N35" s="608" t="str">
        <f>IF($J17=$A$146,"(1+K1+K2)*(1+K3)","(1+AC + S + R + G)*(1 + DF)*(1+L)")</f>
        <v>(1+AC + S + R + G)*(1 + DF)*(1+L)</v>
      </c>
      <c r="O35" s="608"/>
      <c r="P35" s="608"/>
      <c r="Q35" s="609" t="s">
        <v>182</v>
      </c>
      <c r="R35" s="69"/>
      <c r="S35" s="69"/>
    </row>
    <row r="36" spans="1:19" ht="15.75" x14ac:dyDescent="0.2">
      <c r="A36" s="50" t="str">
        <f>A35</f>
        <v>Fornecimento de Materiais e Equipamentos (aquisição indireta - em conjunto com licitação de obras)</v>
      </c>
      <c r="B36" s="54" t="s">
        <v>151</v>
      </c>
      <c r="C36" s="50" t="str">
        <f t="shared" si="0"/>
        <v>Fornecimento de Materiais e Equipamentos (aquisição indireta - em conjunto com licitação de obras)-L</v>
      </c>
      <c r="E36" s="55">
        <v>3.5000000000000003E-2</v>
      </c>
      <c r="F36" s="55">
        <v>5.1100000000000007E-2</v>
      </c>
      <c r="G36" s="55">
        <v>6.2199999999999998E-2</v>
      </c>
      <c r="I36" t="s">
        <v>248</v>
      </c>
      <c r="J36" s="69"/>
      <c r="K36" s="69"/>
      <c r="L36" s="69"/>
      <c r="M36" s="601"/>
      <c r="N36" s="596" t="s">
        <v>183</v>
      </c>
      <c r="O36" s="596"/>
      <c r="P36" s="596"/>
      <c r="Q36" s="609"/>
      <c r="R36" s="69"/>
      <c r="S36" s="69"/>
    </row>
    <row r="37" spans="1:19" ht="15" customHeight="1" x14ac:dyDescent="0.2">
      <c r="A37" s="50" t="str">
        <f>A36</f>
        <v>Fornecimento de Materiais e Equipamentos (aquisição indireta - em conjunto com licitação de obras)</v>
      </c>
      <c r="B37" s="59" t="s">
        <v>152</v>
      </c>
      <c r="C37" s="50" t="str">
        <f t="shared" si="0"/>
        <v>Fornecimento de Materiais e Equipamentos (aquisição indireta - em conjunto com licitação de obras)-BDI PAD</v>
      </c>
      <c r="E37" s="55">
        <v>0.111</v>
      </c>
      <c r="F37" s="55">
        <v>0.14019999999999999</v>
      </c>
      <c r="G37" s="55">
        <v>0.16800000000000001</v>
      </c>
      <c r="I37" t="s">
        <v>248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</row>
    <row r="38" spans="1:19" ht="50.1" customHeight="1" x14ac:dyDescent="0.2">
      <c r="A38" s="50" t="s">
        <v>184</v>
      </c>
      <c r="B38" s="59" t="s">
        <v>143</v>
      </c>
      <c r="C38" s="50" t="str">
        <f t="shared" si="0"/>
        <v>Fornecimento de Materiais e Equipamentos (aquisição direta)-AC</v>
      </c>
      <c r="E38" s="55" t="s">
        <v>168</v>
      </c>
      <c r="F38" s="55" t="s">
        <v>168</v>
      </c>
      <c r="G38" s="55" t="s">
        <v>168</v>
      </c>
      <c r="I38" t="s">
        <v>248</v>
      </c>
      <c r="J38" s="59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38" s="597"/>
      <c r="L38" s="597"/>
      <c r="M38" s="597"/>
      <c r="N38" s="597"/>
      <c r="O38" s="597"/>
      <c r="P38" s="597"/>
      <c r="Q38" s="597"/>
      <c r="R38" s="597"/>
      <c r="S38" s="597"/>
    </row>
    <row r="39" spans="1:19" x14ac:dyDescent="0.2">
      <c r="A39" s="50" t="s">
        <v>184</v>
      </c>
      <c r="B39" s="59" t="s">
        <v>145</v>
      </c>
      <c r="C39" s="50" t="str">
        <f t="shared" si="0"/>
        <v>Fornecimento de Materiais e Equipamentos (aquisição direta)-SG</v>
      </c>
      <c r="E39" s="55" t="s">
        <v>168</v>
      </c>
      <c r="F39" s="55" t="s">
        <v>168</v>
      </c>
      <c r="G39" s="55" t="s">
        <v>168</v>
      </c>
      <c r="I39" t="s">
        <v>248</v>
      </c>
    </row>
    <row r="40" spans="1:19" ht="50.1" customHeight="1" x14ac:dyDescent="0.2">
      <c r="A40" s="50" t="s">
        <v>184</v>
      </c>
      <c r="B40" s="59" t="s">
        <v>146</v>
      </c>
      <c r="C40" s="50" t="str">
        <f t="shared" si="0"/>
        <v>Fornecimento de Materiais e Equipamentos (aquisição direta)-R</v>
      </c>
      <c r="E40" s="55" t="s">
        <v>168</v>
      </c>
      <c r="F40" s="55" t="s">
        <v>168</v>
      </c>
      <c r="G40" s="55" t="s">
        <v>168</v>
      </c>
      <c r="I40" t="s">
        <v>248</v>
      </c>
      <c r="J40" s="59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40" s="597"/>
      <c r="L40" s="597"/>
      <c r="M40" s="597"/>
      <c r="N40" s="597"/>
      <c r="O40" s="597"/>
      <c r="P40" s="597"/>
      <c r="Q40" s="597"/>
      <c r="R40" s="597"/>
      <c r="S40" s="597"/>
    </row>
    <row r="41" spans="1:19" x14ac:dyDescent="0.2">
      <c r="A41" s="50" t="s">
        <v>184</v>
      </c>
      <c r="B41" s="59" t="s">
        <v>150</v>
      </c>
      <c r="C41" s="50" t="str">
        <f t="shared" si="0"/>
        <v>Fornecimento de Materiais e Equipamentos (aquisição direta)-DF</v>
      </c>
      <c r="E41" s="55" t="s">
        <v>168</v>
      </c>
      <c r="F41" s="55" t="s">
        <v>168</v>
      </c>
      <c r="G41" s="55" t="s">
        <v>168</v>
      </c>
      <c r="I41" t="s">
        <v>248</v>
      </c>
    </row>
    <row r="42" spans="1:19" x14ac:dyDescent="0.2">
      <c r="A42" s="50" t="s">
        <v>184</v>
      </c>
      <c r="B42" s="59" t="s">
        <v>151</v>
      </c>
      <c r="C42" s="50" t="str">
        <f t="shared" si="0"/>
        <v>Fornecimento de Materiais e Equipamentos (aquisição direta)-L</v>
      </c>
      <c r="E42" s="55" t="s">
        <v>168</v>
      </c>
      <c r="F42" s="55" t="s">
        <v>168</v>
      </c>
      <c r="G42" s="55" t="s">
        <v>168</v>
      </c>
      <c r="I42" t="s">
        <v>248</v>
      </c>
      <c r="J42" s="50" t="s">
        <v>189</v>
      </c>
    </row>
    <row r="43" spans="1:19" ht="99.95" customHeight="1" x14ac:dyDescent="0.2">
      <c r="A43" s="50" t="s">
        <v>184</v>
      </c>
      <c r="B43" s="59" t="s">
        <v>152</v>
      </c>
      <c r="C43" s="50" t="str">
        <f t="shared" si="0"/>
        <v>Fornecimento de Materiais e Equipamentos (aquisição direta)-BDI PAD</v>
      </c>
      <c r="E43" s="55" t="s">
        <v>168</v>
      </c>
      <c r="F43" s="55" t="s">
        <v>168</v>
      </c>
      <c r="G43" s="55" t="s">
        <v>168</v>
      </c>
      <c r="I43" t="s">
        <v>248</v>
      </c>
      <c r="J43" s="610" t="s">
        <v>469</v>
      </c>
      <c r="K43" s="610"/>
      <c r="L43" s="610"/>
      <c r="M43" s="610"/>
      <c r="N43" s="610"/>
      <c r="O43" s="610"/>
      <c r="P43" s="610"/>
      <c r="Q43" s="610"/>
      <c r="R43" s="610"/>
      <c r="S43" s="610"/>
    </row>
    <row r="44" spans="1:19" x14ac:dyDescent="0.2">
      <c r="A44" s="50" t="s">
        <v>185</v>
      </c>
      <c r="B44" s="54" t="s">
        <v>186</v>
      </c>
      <c r="C44" s="50" t="str">
        <f t="shared" si="0"/>
        <v>Estudos e Projetos, Planos e Gerenciamento e outros correlatos-K1</v>
      </c>
      <c r="E44" s="55" t="s">
        <v>168</v>
      </c>
      <c r="F44" s="55" t="s">
        <v>168</v>
      </c>
      <c r="G44" s="55" t="s">
        <v>168</v>
      </c>
      <c r="I44" t="s">
        <v>248</v>
      </c>
    </row>
    <row r="45" spans="1:19" x14ac:dyDescent="0.2">
      <c r="A45" s="50" t="str">
        <f>A44</f>
        <v>Estudos e Projetos, Planos e Gerenciamento e outros correlatos</v>
      </c>
      <c r="B45" s="54" t="s">
        <v>187</v>
      </c>
      <c r="C45" s="50" t="str">
        <f t="shared" si="0"/>
        <v>Estudos e Projetos, Planos e Gerenciamento e outros correlatos-K2</v>
      </c>
      <c r="E45" s="55" t="s">
        <v>168</v>
      </c>
      <c r="F45" s="55">
        <v>0.2</v>
      </c>
      <c r="G45" s="55" t="s">
        <v>168</v>
      </c>
      <c r="I45" t="s">
        <v>248</v>
      </c>
      <c r="J45" s="604" t="str">
        <f>Import.Município</f>
        <v>Caçapava do Sul/RS</v>
      </c>
      <c r="K45" s="604"/>
      <c r="L45" s="604"/>
      <c r="M45" s="604"/>
      <c r="P45" s="605">
        <f ca="1">DADOS!$F$25</f>
        <v>45545</v>
      </c>
      <c r="Q45" s="605"/>
      <c r="R45" s="605"/>
      <c r="S45" s="605"/>
    </row>
    <row r="46" spans="1:19" x14ac:dyDescent="0.2">
      <c r="A46" s="50" t="str">
        <f>A45</f>
        <v>Estudos e Projetos, Planos e Gerenciamento e outros correlatos</v>
      </c>
      <c r="B46" s="54"/>
      <c r="C46" s="50" t="str">
        <f t="shared" si="0"/>
        <v>Estudos e Projetos, Planos e Gerenciamento e outros correlatos-</v>
      </c>
      <c r="E46" s="55" t="s">
        <v>168</v>
      </c>
      <c r="F46" s="55" t="s">
        <v>168</v>
      </c>
      <c r="G46" s="55" t="s">
        <v>168</v>
      </c>
      <c r="I46" t="s">
        <v>248</v>
      </c>
      <c r="J46" s="606" t="s">
        <v>190</v>
      </c>
      <c r="K46" s="606"/>
      <c r="L46" s="606"/>
      <c r="M46" s="606"/>
      <c r="O46" s="74"/>
      <c r="P46" s="75" t="s">
        <v>191</v>
      </c>
      <c r="Q46" s="76"/>
      <c r="R46" s="76"/>
      <c r="S46" s="76"/>
    </row>
    <row r="47" spans="1:19" ht="30" customHeight="1" x14ac:dyDescent="0.2">
      <c r="A47" s="50" t="str">
        <f>A46</f>
        <v>Estudos e Projetos, Planos e Gerenciamento e outros correlatos</v>
      </c>
      <c r="B47" s="54"/>
      <c r="C47" s="50" t="str">
        <f t="shared" si="0"/>
        <v>Estudos e Projetos, Planos e Gerenciamento e outros correlatos-</v>
      </c>
      <c r="E47" s="55" t="s">
        <v>168</v>
      </c>
      <c r="F47" s="55" t="s">
        <v>168</v>
      </c>
      <c r="G47" s="55" t="s">
        <v>168</v>
      </c>
      <c r="I47" t="s">
        <v>248</v>
      </c>
    </row>
    <row r="48" spans="1:19" ht="15" x14ac:dyDescent="0.2">
      <c r="A48" s="50" t="str">
        <f>A47</f>
        <v>Estudos e Projetos, Planos e Gerenciamento e outros correlatos</v>
      </c>
      <c r="B48" s="54" t="s">
        <v>188</v>
      </c>
      <c r="C48" s="50" t="str">
        <f t="shared" si="0"/>
        <v>Estudos e Projetos, Planos e Gerenciamento e outros correlatos-K3</v>
      </c>
      <c r="E48" s="55" t="s">
        <v>168</v>
      </c>
      <c r="F48" s="55">
        <v>0.12</v>
      </c>
      <c r="G48" s="55" t="s">
        <v>168</v>
      </c>
      <c r="I48" t="s">
        <v>248</v>
      </c>
      <c r="J48" s="607"/>
      <c r="K48" s="607"/>
      <c r="L48" s="607"/>
      <c r="M48" s="607"/>
      <c r="N48" s="77"/>
    </row>
    <row r="49" spans="1:26" ht="12.75" customHeight="1" x14ac:dyDescent="0.2">
      <c r="A49" s="50" t="str">
        <f>A48</f>
        <v>Estudos e Projetos, Planos e Gerenciamento e outros correlatos</v>
      </c>
      <c r="B49" s="59" t="s">
        <v>152</v>
      </c>
      <c r="C49" s="50" t="str">
        <f t="shared" si="0"/>
        <v>Estudos e Projetos, Planos e Gerenciamento e outros correlatos-BDI PAD</v>
      </c>
      <c r="E49" s="55" t="s">
        <v>168</v>
      </c>
      <c r="F49" s="55" t="s">
        <v>168</v>
      </c>
      <c r="G49" s="55" t="s">
        <v>168</v>
      </c>
      <c r="I49" t="s">
        <v>248</v>
      </c>
      <c r="J49" s="602" t="s">
        <v>192</v>
      </c>
      <c r="K49" s="602"/>
      <c r="L49" s="602"/>
      <c r="M49" s="602"/>
    </row>
    <row r="50" spans="1:26" ht="14.25" x14ac:dyDescent="0.2">
      <c r="B50" s="59"/>
      <c r="E50" s="55"/>
      <c r="F50" s="55"/>
      <c r="G50" s="55"/>
      <c r="I50" t="s">
        <v>248</v>
      </c>
      <c r="J50" s="78" t="s">
        <v>109</v>
      </c>
      <c r="K50" s="79" t="str">
        <f t="array" ref="K50:K52">Import.RespOrçamento</f>
        <v>Fernando Cesar Nubias Pereira</v>
      </c>
      <c r="L50" s="80"/>
      <c r="M50" s="80"/>
      <c r="N50" s="77"/>
    </row>
    <row r="51" spans="1:26" ht="14.25" x14ac:dyDescent="0.2">
      <c r="A51"/>
      <c r="B51"/>
      <c r="C51"/>
      <c r="D51"/>
      <c r="E51"/>
      <c r="F51"/>
      <c r="G51"/>
      <c r="I51" t="s">
        <v>248</v>
      </c>
      <c r="J51" s="78" t="s">
        <v>110</v>
      </c>
      <c r="K51" s="79" t="str">
        <v>RS A - 228673-4</v>
      </c>
      <c r="L51" s="80"/>
      <c r="M51" s="80"/>
      <c r="N51" s="77"/>
    </row>
    <row r="52" spans="1:26" ht="14.25" x14ac:dyDescent="0.2">
      <c r="A52"/>
      <c r="B52"/>
      <c r="C52"/>
      <c r="D52"/>
      <c r="E52"/>
      <c r="F52"/>
      <c r="G52"/>
      <c r="I52" t="s">
        <v>248</v>
      </c>
      <c r="J52" s="78" t="s">
        <v>111</v>
      </c>
      <c r="K52" s="79" t="str">
        <v>13882809</v>
      </c>
      <c r="L52" s="80"/>
      <c r="M52" s="80"/>
      <c r="N52" s="77"/>
    </row>
    <row r="53" spans="1:26" ht="14.25" x14ac:dyDescent="0.2">
      <c r="A53"/>
      <c r="B53"/>
      <c r="C53"/>
      <c r="D53"/>
      <c r="E53"/>
      <c r="F53"/>
      <c r="G53"/>
      <c r="I53" t="s">
        <v>248</v>
      </c>
      <c r="J53" s="78"/>
      <c r="K53" s="81"/>
      <c r="L53" s="80"/>
      <c r="M53" s="80"/>
      <c r="N53" s="77"/>
    </row>
    <row r="54" spans="1:26" ht="15.75" hidden="1" x14ac:dyDescent="0.25">
      <c r="A54"/>
      <c r="B54"/>
      <c r="C54"/>
      <c r="D54"/>
      <c r="E54"/>
      <c r="F54"/>
      <c r="G54"/>
      <c r="I54" t="str">
        <f ca="1">IF($S$69=0,"","F")</f>
        <v/>
      </c>
      <c r="J54" s="603" t="s">
        <v>193</v>
      </c>
      <c r="K54" s="603"/>
      <c r="L54" s="603"/>
      <c r="M54" s="603"/>
      <c r="N54" s="603"/>
      <c r="O54" s="603"/>
      <c r="P54" s="603"/>
      <c r="Q54" s="603"/>
      <c r="R54" s="603"/>
      <c r="S54" s="603"/>
    </row>
    <row r="55" spans="1:26" hidden="1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hidden="1" x14ac:dyDescent="0.2">
      <c r="A56"/>
      <c r="B56"/>
      <c r="C56"/>
      <c r="D56"/>
      <c r="E56"/>
      <c r="F56"/>
      <c r="G56"/>
      <c r="I56" t="str">
        <f t="shared" ca="1" si="1"/>
        <v/>
      </c>
      <c r="J56" s="585" t="s">
        <v>159</v>
      </c>
      <c r="K56" s="585"/>
      <c r="L56" s="585"/>
      <c r="M56" s="585"/>
      <c r="N56" s="585"/>
      <c r="O56" s="585"/>
      <c r="P56" s="585"/>
      <c r="Q56" s="585"/>
      <c r="R56" s="585"/>
      <c r="S56" s="585"/>
    </row>
    <row r="57" spans="1:26" hidden="1" x14ac:dyDescent="0.2">
      <c r="A57"/>
      <c r="B57"/>
      <c r="C57"/>
      <c r="D57"/>
      <c r="E57"/>
      <c r="F57"/>
      <c r="G57"/>
      <c r="I57" t="str">
        <f t="shared" ca="1" si="1"/>
        <v/>
      </c>
      <c r="J57" s="595" t="s">
        <v>410</v>
      </c>
      <c r="K57" s="595"/>
      <c r="L57" s="595"/>
      <c r="M57" s="595"/>
      <c r="N57" s="595"/>
      <c r="O57" s="595"/>
      <c r="P57" s="595"/>
      <c r="Q57" s="595"/>
      <c r="R57" s="595"/>
      <c r="S57" s="595"/>
    </row>
    <row r="58" spans="1:26" hidden="1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hidden="1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588" t="s">
        <v>160</v>
      </c>
      <c r="K59" s="588"/>
      <c r="L59" s="588"/>
      <c r="M59" s="588"/>
      <c r="N59" s="588"/>
      <c r="O59" s="588"/>
      <c r="P59" s="588"/>
      <c r="Q59" s="588"/>
      <c r="R59" s="588" t="s">
        <v>161</v>
      </c>
      <c r="S59" s="587" t="s">
        <v>162</v>
      </c>
      <c r="U59" s="587" t="s">
        <v>163</v>
      </c>
      <c r="V59" s="587"/>
      <c r="W59" s="587"/>
      <c r="X59" s="586" t="s">
        <v>164</v>
      </c>
      <c r="Y59" s="586" t="s">
        <v>165</v>
      </c>
      <c r="Z59" s="586" t="s">
        <v>166</v>
      </c>
    </row>
    <row r="60" spans="1:26" ht="12.75" hidden="1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588"/>
      <c r="K60" s="588"/>
      <c r="L60" s="588"/>
      <c r="M60" s="588"/>
      <c r="N60" s="588"/>
      <c r="O60" s="588"/>
      <c r="P60" s="588"/>
      <c r="Q60" s="588"/>
      <c r="R60" s="588"/>
      <c r="S60" s="587"/>
      <c r="U60" s="587"/>
      <c r="V60" s="587"/>
      <c r="W60" s="587"/>
      <c r="X60" s="586"/>
      <c r="Y60" s="586"/>
      <c r="Z60" s="586"/>
    </row>
    <row r="61" spans="1:26" ht="15" hidden="1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593" t="str">
        <f>IF($J$17=$A$146,"Encargos Sociais incidentes sobre a mão de obra","Administração Central")</f>
        <v>Administração Central</v>
      </c>
      <c r="K61" s="593"/>
      <c r="L61" s="593"/>
      <c r="M61" s="593"/>
      <c r="N61" s="593"/>
      <c r="O61" s="593"/>
      <c r="P61" s="593"/>
      <c r="Q61" s="593"/>
      <c r="R61" s="61" t="str">
        <f>IF($J57=$A$146,"K1","AC")</f>
        <v>AC</v>
      </c>
      <c r="S61" s="62"/>
      <c r="U61" s="594" t="s">
        <v>168</v>
      </c>
      <c r="V61" s="594"/>
      <c r="W61" s="594"/>
      <c r="X61" s="63" t="e">
        <f>VLOOKUP(CONCATENATE(J57,"-",R61),$C$2:$G$136,3,FALSE)</f>
        <v>#N/A</v>
      </c>
      <c r="Y61" s="63" t="e">
        <f>VLOOKUP(CONCATENATE(J57,"-",R61),$C$2:$G$136,4,FALSE)</f>
        <v>#N/A</v>
      </c>
      <c r="Z61" s="63" t="e">
        <f>VLOOKUP(CONCATENATE(J57,"-",R61),$C$2:$G$136,5,FALSE)</f>
        <v>#N/A</v>
      </c>
    </row>
    <row r="62" spans="1:26" ht="15" hidden="1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593" t="str">
        <f>IF($J$17=$A$146,"Administração Central da empresa ou consultoria - overhead","Seguro e Garantia")</f>
        <v>Seguro e Garantia</v>
      </c>
      <c r="K62" s="593"/>
      <c r="L62" s="593"/>
      <c r="M62" s="593"/>
      <c r="N62" s="593"/>
      <c r="O62" s="593"/>
      <c r="P62" s="593"/>
      <c r="Q62" s="593"/>
      <c r="R62" s="61" t="str">
        <f>IF($J57=$A$146,"K2","SG")</f>
        <v>SG</v>
      </c>
      <c r="S62" s="62"/>
      <c r="U62" s="594" t="s">
        <v>168</v>
      </c>
      <c r="V62" s="594"/>
      <c r="W62" s="594"/>
      <c r="X62" s="63" t="e">
        <f>VLOOKUP(CONCATENATE(J57,"-",R62),$C$2:$G$136,3,FALSE)</f>
        <v>#N/A</v>
      </c>
      <c r="Y62" s="63" t="e">
        <f>VLOOKUP(CONCATENATE(J57,"-",R62),$C$2:$G$136,4,FALSE)</f>
        <v>#N/A</v>
      </c>
      <c r="Z62" s="63" t="e">
        <f>VLOOKUP(CONCATENATE(J57,"-",R62),$C$2:$G$136,5,FALSE)</f>
        <v>#N/A</v>
      </c>
    </row>
    <row r="63" spans="1:26" ht="15" hidden="1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593" t="str">
        <f>IF($J$17=$A$146,"","Risco")</f>
        <v>Risco</v>
      </c>
      <c r="K63" s="593"/>
      <c r="L63" s="593"/>
      <c r="M63" s="593"/>
      <c r="N63" s="593"/>
      <c r="O63" s="593"/>
      <c r="P63" s="593"/>
      <c r="Q63" s="593"/>
      <c r="R63" s="61" t="str">
        <f>IF($J57=$A$146,"","R")</f>
        <v>R</v>
      </c>
      <c r="S63" s="62"/>
      <c r="U63" s="594" t="s">
        <v>168</v>
      </c>
      <c r="V63" s="594"/>
      <c r="W63" s="594"/>
      <c r="X63" s="63" t="e">
        <f>VLOOKUP(CONCATENATE(J57,"-",R63),$C$2:$G$136,3,FALSE)</f>
        <v>#N/A</v>
      </c>
      <c r="Y63" s="63" t="e">
        <f>VLOOKUP(CONCATENATE(J57,"-",R63),$C$2:$G$136,4,FALSE)</f>
        <v>#N/A</v>
      </c>
      <c r="Z63" s="63" t="e">
        <f>VLOOKUP(CONCATENATE(J57,"-",R63),$C$2:$G$136,5,FALSE)</f>
        <v>#N/A</v>
      </c>
    </row>
    <row r="64" spans="1:26" ht="15" hidden="1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593" t="str">
        <f>IF($J$17=$A$146,"","Despesas Financeiras")</f>
        <v>Despesas Financeiras</v>
      </c>
      <c r="K64" s="593"/>
      <c r="L64" s="593"/>
      <c r="M64" s="593"/>
      <c r="N64" s="593"/>
      <c r="O64" s="593"/>
      <c r="P64" s="593"/>
      <c r="Q64" s="593"/>
      <c r="R64" s="61" t="str">
        <f>IF($J57=$A$146,"","DF")</f>
        <v>DF</v>
      </c>
      <c r="S64" s="62"/>
      <c r="U64" s="594" t="s">
        <v>168</v>
      </c>
      <c r="V64" s="594"/>
      <c r="W64" s="594"/>
      <c r="X64" s="63" t="e">
        <f>VLOOKUP(CONCATENATE(J57,"-",R64),$C$2:$G$136,3,FALSE)</f>
        <v>#N/A</v>
      </c>
      <c r="Y64" s="63" t="e">
        <f>VLOOKUP(CONCATENATE(J57,"-",R64),$C$2:$G$136,4,FALSE)</f>
        <v>#N/A</v>
      </c>
      <c r="Z64" s="63" t="e">
        <f>VLOOKUP(CONCATENATE(J57,"-",R64),$C$2:$G$136,5,FALSE)</f>
        <v>#N/A</v>
      </c>
    </row>
    <row r="65" spans="1:26" ht="15" hidden="1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593" t="str">
        <f>IF($J$17=$A$146,"Margem bruta da empresa de consultoria","Lucro")</f>
        <v>Lucro</v>
      </c>
      <c r="K65" s="593"/>
      <c r="L65" s="593"/>
      <c r="M65" s="593"/>
      <c r="N65" s="593"/>
      <c r="O65" s="593"/>
      <c r="P65" s="593"/>
      <c r="Q65" s="593"/>
      <c r="R65" s="61" t="str">
        <f>IF($J57=$A$146,"K3","L")</f>
        <v>L</v>
      </c>
      <c r="S65" s="62"/>
      <c r="U65" s="594" t="s">
        <v>168</v>
      </c>
      <c r="V65" s="594"/>
      <c r="W65" s="594"/>
      <c r="X65" s="63" t="e">
        <f>VLOOKUP(CONCATENATE(J57,"-",R65),$C$2:$G$136,3,FALSE)</f>
        <v>#N/A</v>
      </c>
      <c r="Y65" s="63" t="e">
        <f>VLOOKUP(CONCATENATE(J57,"-",R65),$C$2:$G$136,4,FALSE)</f>
        <v>#N/A</v>
      </c>
      <c r="Z65" s="63" t="e">
        <f>VLOOKUP(CONCATENATE(J57,"-",R65),$C$2:$G$136,5,FALSE)</f>
        <v>#N/A</v>
      </c>
    </row>
    <row r="66" spans="1:26" ht="15" hidden="1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593" t="s">
        <v>170</v>
      </c>
      <c r="K66" s="593"/>
      <c r="L66" s="593"/>
      <c r="M66" s="593"/>
      <c r="N66" s="593"/>
      <c r="O66" s="593"/>
      <c r="P66" s="593"/>
      <c r="Q66" s="593"/>
      <c r="R66" s="61" t="s">
        <v>171</v>
      </c>
      <c r="S66" s="62"/>
      <c r="U66" s="594" t="s">
        <v>168</v>
      </c>
      <c r="V66" s="594"/>
      <c r="W66" s="594"/>
      <c r="X66" s="63">
        <v>3.6499999999999998E-2</v>
      </c>
      <c r="Y66" s="63">
        <v>3.6499999999999998E-2</v>
      </c>
      <c r="Z66" s="63">
        <v>3.6499999999999998E-2</v>
      </c>
    </row>
    <row r="67" spans="1:26" ht="15" hidden="1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593" t="s">
        <v>172</v>
      </c>
      <c r="K67" s="593"/>
      <c r="L67" s="593"/>
      <c r="M67" s="593"/>
      <c r="N67" s="593"/>
      <c r="O67" s="593"/>
      <c r="P67" s="593"/>
      <c r="Q67" s="593"/>
      <c r="R67" s="61" t="s">
        <v>173</v>
      </c>
      <c r="S67" s="63">
        <f ca="1">IF(AND($J57&lt;&gt;$A$145,COUNTA(OFFSET(S60,1,0,6))&gt;0),$R$11*$R$10,0)</f>
        <v>0</v>
      </c>
      <c r="U67" s="594" t="s">
        <v>168</v>
      </c>
      <c r="V67" s="594"/>
      <c r="W67" s="594"/>
      <c r="X67" s="63">
        <v>0</v>
      </c>
      <c r="Y67" s="63">
        <v>2.5000000000000001E-2</v>
      </c>
      <c r="Z67" s="63">
        <v>0.05</v>
      </c>
    </row>
    <row r="68" spans="1:26" ht="15" hidden="1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593" t="s">
        <v>174</v>
      </c>
      <c r="K68" s="593"/>
      <c r="L68" s="593"/>
      <c r="M68" s="593"/>
      <c r="N68" s="593"/>
      <c r="O68" s="593"/>
      <c r="P68" s="593"/>
      <c r="Q68" s="593"/>
      <c r="R68" s="61" t="s">
        <v>175</v>
      </c>
      <c r="S68" s="63">
        <f ca="1">IF(BDI.Opcao&lt;&gt;"Desonerado",0,IF(AND($J57&lt;&gt;$A$145,COUNTA(OFFSET(S60,1,0,6))&gt;0),4.5%,0%))</f>
        <v>0</v>
      </c>
      <c r="U68" s="594" t="s">
        <v>168</v>
      </c>
      <c r="V68" s="594"/>
      <c r="W68" s="594"/>
      <c r="X68" s="64">
        <v>0</v>
      </c>
      <c r="Y68" s="64">
        <v>4.4999999999999998E-2</v>
      </c>
      <c r="Z68" s="64">
        <v>4.4999999999999998E-2</v>
      </c>
    </row>
    <row r="69" spans="1:26" ht="15" hidden="1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593" t="s">
        <v>176</v>
      </c>
      <c r="K69" s="593"/>
      <c r="L69" s="593"/>
      <c r="M69" s="593"/>
      <c r="N69" s="593"/>
      <c r="O69" s="593"/>
      <c r="P69" s="593"/>
      <c r="Q69" s="593"/>
      <c r="R69" s="65" t="s">
        <v>152</v>
      </c>
      <c r="S69" s="63">
        <f ca="1">IF($J57=$A$145,0,ROUND((((1+S61+S62+S63)*(1+S64)*(1+S65)/(1-(S66+S67)))-1),4))</f>
        <v>0</v>
      </c>
      <c r="U69" s="587" t="e">
        <f ca="1">IF(OR($J$17=$A$146,$J$17=$A$145,AND(S69&gt;=X69,S69&lt;=Z69)),"OK","FORA DO INTERVALO")</f>
        <v>#N/A</v>
      </c>
      <c r="V69" s="587"/>
      <c r="W69" s="587"/>
      <c r="X69" s="63" t="e">
        <f>IF($J57=$A$145,0,VLOOKUP(CONCATENATE($J57,"-",$R69),$C$2:$G$136,3,FALSE))</f>
        <v>#N/A</v>
      </c>
      <c r="Y69" s="63" t="e">
        <f>IF($J57=$A$145,0,VLOOKUP(CONCATENATE($J57,"-",$R69),$C$2:$G$136,4,FALSE))</f>
        <v>#N/A</v>
      </c>
      <c r="Z69" s="63" t="e">
        <f>IF($J57=$A$145,0,VLOOKUP(CONCATENATE($J57,"-",$R69),$C$2:$G$136,5,FALSE))</f>
        <v>#N/A</v>
      </c>
    </row>
    <row r="70" spans="1:26" ht="15" hidden="1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598" t="s">
        <v>177</v>
      </c>
      <c r="K70" s="598"/>
      <c r="L70" s="598"/>
      <c r="M70" s="598"/>
      <c r="N70" s="598"/>
      <c r="O70" s="598"/>
      <c r="P70" s="598"/>
      <c r="Q70" s="598"/>
      <c r="R70" s="66" t="s">
        <v>178</v>
      </c>
      <c r="S70" s="67">
        <f ca="1">IF($J57=$A$145,0,ROUND((((1+S61+S62+S63)*(1+S64)*(1+S65)/(1-(S66+S67+S68)))-1),4))</f>
        <v>0</v>
      </c>
    </row>
    <row r="71" spans="1:26" ht="25.5" hidden="1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hidden="1" x14ac:dyDescent="0.2">
      <c r="A72"/>
      <c r="B72"/>
      <c r="C72"/>
      <c r="D72"/>
      <c r="E72"/>
      <c r="F72"/>
      <c r="G72"/>
      <c r="I72" t="str">
        <f t="shared" ca="1" si="1"/>
        <v/>
      </c>
      <c r="J72" s="68" t="e">
        <f ca="1">IF(U69&lt;&gt;"ok","X","")</f>
        <v>#N/A</v>
      </c>
      <c r="K72" s="599" t="e">
        <f ca="1">IF(U69&lt;&gt;"ok","Anexo: Relatório Técnico Circunstanciado justificando a adoção do percentual de cada parcela do BDI.","")</f>
        <v>#N/A</v>
      </c>
      <c r="L72" s="599"/>
      <c r="M72" s="599"/>
      <c r="N72" s="599"/>
      <c r="O72" s="599"/>
      <c r="P72" s="599"/>
      <c r="Q72" s="599"/>
      <c r="R72" s="599"/>
      <c r="S72" s="599"/>
    </row>
    <row r="73" spans="1:26" hidden="1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hidden="1" x14ac:dyDescent="0.2">
      <c r="A74"/>
      <c r="B74"/>
      <c r="C74"/>
      <c r="D74"/>
      <c r="E74"/>
      <c r="F74"/>
      <c r="G74"/>
      <c r="I74" t="str">
        <f t="shared" ca="1" si="1"/>
        <v/>
      </c>
      <c r="J74" s="600" t="s">
        <v>180</v>
      </c>
      <c r="K74" s="600"/>
      <c r="L74" s="600"/>
      <c r="M74" s="600"/>
      <c r="N74" s="600"/>
      <c r="O74" s="600"/>
      <c r="P74" s="600"/>
      <c r="Q74" s="600"/>
      <c r="R74" s="600"/>
      <c r="S74" s="600"/>
    </row>
    <row r="75" spans="1:26" ht="15.75" hidden="1" x14ac:dyDescent="0.25">
      <c r="A75"/>
      <c r="B75"/>
      <c r="C75"/>
      <c r="D75"/>
      <c r="E75"/>
      <c r="F75"/>
      <c r="G75"/>
      <c r="I75" t="str">
        <f t="shared" ca="1" si="1"/>
        <v/>
      </c>
      <c r="J75" s="69"/>
      <c r="K75" s="69"/>
      <c r="L75" s="69"/>
      <c r="M75" s="601" t="s">
        <v>181</v>
      </c>
      <c r="N75" s="608" t="str">
        <f>IF($J57=$A$146,"(1+K1+K2)*(1+K3)","(1+AC + S + R + G)*(1 + DF)*(1+L)")</f>
        <v>(1+AC + S + R + G)*(1 + DF)*(1+L)</v>
      </c>
      <c r="O75" s="608"/>
      <c r="P75" s="608"/>
      <c r="Q75" s="609" t="s">
        <v>182</v>
      </c>
      <c r="R75" s="69"/>
      <c r="S75" s="69"/>
    </row>
    <row r="76" spans="1:26" ht="15.75" hidden="1" x14ac:dyDescent="0.2">
      <c r="A76"/>
      <c r="B76"/>
      <c r="C76"/>
      <c r="D76"/>
      <c r="E76"/>
      <c r="F76"/>
      <c r="G76"/>
      <c r="I76" t="str">
        <f t="shared" ca="1" si="1"/>
        <v/>
      </c>
      <c r="J76" s="69"/>
      <c r="K76" s="69"/>
      <c r="L76" s="69"/>
      <c r="M76" s="601"/>
      <c r="N76" s="596" t="s">
        <v>183</v>
      </c>
      <c r="O76" s="596"/>
      <c r="P76" s="596"/>
      <c r="Q76" s="609"/>
      <c r="R76" s="69"/>
      <c r="S76" s="69"/>
    </row>
    <row r="77" spans="1:26" ht="15" hidden="1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69"/>
      <c r="K77" s="69"/>
      <c r="L77" s="69"/>
      <c r="M77" s="70"/>
      <c r="N77" s="72"/>
      <c r="O77" s="72"/>
      <c r="P77" s="72"/>
      <c r="Q77" s="71"/>
      <c r="R77" s="69"/>
      <c r="S77" s="69"/>
    </row>
    <row r="78" spans="1:26" ht="50.1" hidden="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59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78" s="597"/>
      <c r="L78" s="597"/>
      <c r="M78" s="597"/>
      <c r="N78" s="597"/>
      <c r="O78" s="597"/>
      <c r="P78" s="597"/>
      <c r="Q78" s="597"/>
      <c r="R78" s="597"/>
      <c r="S78" s="597"/>
    </row>
    <row r="79" spans="1:26" hidden="1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hidden="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59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80" s="597"/>
      <c r="L80" s="597"/>
      <c r="M80" s="597"/>
      <c r="N80" s="597"/>
      <c r="O80" s="597"/>
      <c r="P80" s="597"/>
      <c r="Q80" s="597"/>
      <c r="R80" s="597"/>
      <c r="S80" s="597"/>
    </row>
    <row r="81" spans="1:19" hidden="1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hidden="1" x14ac:dyDescent="0.2">
      <c r="A82"/>
      <c r="B82"/>
      <c r="C82"/>
      <c r="D82"/>
      <c r="E82"/>
      <c r="F82"/>
      <c r="G82"/>
      <c r="I82" t="str">
        <f t="shared" ca="1" si="1"/>
        <v/>
      </c>
      <c r="J82" s="50" t="s">
        <v>189</v>
      </c>
    </row>
    <row r="83" spans="1:19" ht="99.95" hidden="1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610"/>
      <c r="K83" s="610"/>
      <c r="L83" s="610"/>
      <c r="M83" s="610"/>
      <c r="N83" s="610"/>
      <c r="O83" s="610"/>
      <c r="P83" s="610"/>
      <c r="Q83" s="610"/>
      <c r="R83" s="610"/>
      <c r="S83" s="610"/>
    </row>
    <row r="84" spans="1:19" hidden="1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hidden="1" x14ac:dyDescent="0.2">
      <c r="A85"/>
      <c r="B85"/>
      <c r="C85"/>
      <c r="D85"/>
      <c r="E85"/>
      <c r="F85"/>
      <c r="G85"/>
      <c r="I85" t="str">
        <f t="shared" ca="1" si="1"/>
        <v/>
      </c>
      <c r="J85" s="604" t="str">
        <f>Import.Município</f>
        <v>Caçapava do Sul/RS</v>
      </c>
      <c r="K85" s="604"/>
      <c r="L85" s="604"/>
      <c r="M85" s="604"/>
      <c r="P85" s="605">
        <f ca="1">DADOS!$F$25</f>
        <v>45545</v>
      </c>
      <c r="Q85" s="605"/>
      <c r="R85" s="605"/>
      <c r="S85" s="605"/>
    </row>
    <row r="86" spans="1:19" hidden="1" x14ac:dyDescent="0.2">
      <c r="A86"/>
      <c r="B86"/>
      <c r="C86"/>
      <c r="D86"/>
      <c r="E86"/>
      <c r="F86"/>
      <c r="G86"/>
      <c r="I86" t="str">
        <f t="shared" ca="1" si="1"/>
        <v/>
      </c>
      <c r="J86" s="606" t="s">
        <v>190</v>
      </c>
      <c r="K86" s="606"/>
      <c r="L86" s="606"/>
      <c r="M86" s="606"/>
      <c r="O86" s="74"/>
      <c r="P86" s="75" t="s">
        <v>191</v>
      </c>
      <c r="Q86" s="76"/>
      <c r="R86" s="76"/>
      <c r="S86" s="76"/>
    </row>
    <row r="87" spans="1:19" ht="30" hidden="1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hidden="1" x14ac:dyDescent="0.2">
      <c r="A88"/>
      <c r="B88"/>
      <c r="C88"/>
      <c r="D88"/>
      <c r="E88"/>
      <c r="F88"/>
      <c r="G88"/>
      <c r="I88" t="str">
        <f t="shared" ca="1" si="1"/>
        <v/>
      </c>
      <c r="J88" s="607"/>
      <c r="K88" s="607"/>
      <c r="L88" s="607"/>
      <c r="M88" s="607"/>
      <c r="N88" s="77"/>
    </row>
    <row r="89" spans="1:19" hidden="1" x14ac:dyDescent="0.2">
      <c r="A89"/>
      <c r="B89"/>
      <c r="C89"/>
      <c r="D89"/>
      <c r="E89"/>
      <c r="F89"/>
      <c r="G89"/>
      <c r="I89" t="str">
        <f t="shared" ca="1" si="1"/>
        <v/>
      </c>
      <c r="J89" s="602" t="s">
        <v>192</v>
      </c>
      <c r="K89" s="602"/>
      <c r="L89" s="602"/>
      <c r="M89" s="602"/>
    </row>
    <row r="90" spans="1:19" ht="14.25" hidden="1" x14ac:dyDescent="0.2">
      <c r="A90"/>
      <c r="B90"/>
      <c r="C90"/>
      <c r="D90"/>
      <c r="E90"/>
      <c r="F90"/>
      <c r="G90"/>
      <c r="I90" t="str">
        <f t="shared" ca="1" si="1"/>
        <v/>
      </c>
      <c r="J90" s="78" t="s">
        <v>109</v>
      </c>
      <c r="K90" s="79" t="str">
        <f t="array" ref="K90:K92">Import.RespOrçamento</f>
        <v>Fernando Cesar Nubias Pereira</v>
      </c>
      <c r="L90" s="80"/>
      <c r="M90" s="80"/>
      <c r="N90" s="77"/>
    </row>
    <row r="91" spans="1:19" ht="14.25" hidden="1" x14ac:dyDescent="0.2">
      <c r="A91"/>
      <c r="B91"/>
      <c r="C91"/>
      <c r="D91"/>
      <c r="E91"/>
      <c r="F91"/>
      <c r="G91"/>
      <c r="I91" t="str">
        <f t="shared" ca="1" si="1"/>
        <v/>
      </c>
      <c r="J91" s="78" t="s">
        <v>110</v>
      </c>
      <c r="K91" s="79" t="str">
        <v>RS A - 228673-4</v>
      </c>
      <c r="L91" s="80"/>
      <c r="M91" s="80"/>
      <c r="N91" s="77"/>
    </row>
    <row r="92" spans="1:19" ht="14.25" hidden="1" x14ac:dyDescent="0.2">
      <c r="A92"/>
      <c r="B92"/>
      <c r="C92"/>
      <c r="D92"/>
      <c r="E92"/>
      <c r="F92"/>
      <c r="G92"/>
      <c r="I92" t="str">
        <f t="shared" ca="1" si="1"/>
        <v/>
      </c>
      <c r="J92" s="78" t="s">
        <v>111</v>
      </c>
      <c r="K92" s="79" t="str">
        <v>13882809</v>
      </c>
      <c r="L92" s="80"/>
      <c r="M92" s="80"/>
      <c r="N92" s="77"/>
    </row>
    <row r="93" spans="1:19" ht="14.25" hidden="1" x14ac:dyDescent="0.2">
      <c r="A93"/>
      <c r="B93"/>
      <c r="C93"/>
      <c r="D93"/>
      <c r="E93"/>
      <c r="F93"/>
      <c r="G93"/>
      <c r="I93" t="str">
        <f t="shared" ca="1" si="1"/>
        <v/>
      </c>
      <c r="J93" s="78"/>
      <c r="K93" s="81"/>
      <c r="L93" s="80"/>
      <c r="M93" s="80"/>
      <c r="N93" s="77"/>
    </row>
    <row r="94" spans="1:19" ht="15.75" hidden="1" x14ac:dyDescent="0.25">
      <c r="A94"/>
      <c r="B94"/>
      <c r="C94"/>
      <c r="D94"/>
      <c r="E94"/>
      <c r="F94"/>
      <c r="G94"/>
      <c r="I94" t="str">
        <f ca="1">IF($S$109=0,"","F")</f>
        <v/>
      </c>
      <c r="J94" s="603" t="s">
        <v>194</v>
      </c>
      <c r="K94" s="603"/>
      <c r="L94" s="603"/>
      <c r="M94" s="603"/>
      <c r="N94" s="603"/>
      <c r="O94" s="603"/>
      <c r="P94" s="603"/>
      <c r="Q94" s="603"/>
      <c r="R94" s="603"/>
      <c r="S94" s="603"/>
    </row>
    <row r="95" spans="1:19" hidden="1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hidden="1" x14ac:dyDescent="0.2">
      <c r="A96"/>
      <c r="B96"/>
      <c r="C96"/>
      <c r="D96"/>
      <c r="E96"/>
      <c r="F96"/>
      <c r="G96"/>
      <c r="I96" t="str">
        <f t="shared" ca="1" si="2"/>
        <v/>
      </c>
      <c r="J96" s="585" t="s">
        <v>159</v>
      </c>
      <c r="K96" s="585"/>
      <c r="L96" s="585"/>
      <c r="M96" s="585"/>
      <c r="N96" s="585"/>
      <c r="O96" s="585"/>
      <c r="P96" s="585"/>
      <c r="Q96" s="585"/>
      <c r="R96" s="585"/>
      <c r="S96" s="585"/>
    </row>
    <row r="97" spans="1:26" hidden="1" x14ac:dyDescent="0.2">
      <c r="A97"/>
      <c r="B97"/>
      <c r="C97"/>
      <c r="D97"/>
      <c r="E97"/>
      <c r="F97"/>
      <c r="G97"/>
      <c r="I97" t="str">
        <f t="shared" ca="1" si="2"/>
        <v/>
      </c>
      <c r="J97" s="595" t="s">
        <v>410</v>
      </c>
      <c r="K97" s="595"/>
      <c r="L97" s="595"/>
      <c r="M97" s="595"/>
      <c r="N97" s="595"/>
      <c r="O97" s="595"/>
      <c r="P97" s="595"/>
      <c r="Q97" s="595"/>
      <c r="R97" s="595"/>
      <c r="S97" s="595"/>
    </row>
    <row r="98" spans="1:26" hidden="1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hidden="1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588" t="s">
        <v>160</v>
      </c>
      <c r="K99" s="588"/>
      <c r="L99" s="588"/>
      <c r="M99" s="588"/>
      <c r="N99" s="588"/>
      <c r="O99" s="588"/>
      <c r="P99" s="588"/>
      <c r="Q99" s="588"/>
      <c r="R99" s="588" t="s">
        <v>161</v>
      </c>
      <c r="S99" s="587" t="s">
        <v>162</v>
      </c>
      <c r="U99" s="587" t="s">
        <v>163</v>
      </c>
      <c r="V99" s="587"/>
      <c r="W99" s="587"/>
      <c r="X99" s="586" t="s">
        <v>164</v>
      </c>
      <c r="Y99" s="586" t="s">
        <v>165</v>
      </c>
      <c r="Z99" s="586" t="s">
        <v>166</v>
      </c>
    </row>
    <row r="100" spans="1:26" ht="12.75" hidden="1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588"/>
      <c r="K100" s="588"/>
      <c r="L100" s="588"/>
      <c r="M100" s="588"/>
      <c r="N100" s="588"/>
      <c r="O100" s="588"/>
      <c r="P100" s="588"/>
      <c r="Q100" s="588"/>
      <c r="R100" s="588"/>
      <c r="S100" s="587"/>
      <c r="U100" s="587"/>
      <c r="V100" s="587"/>
      <c r="W100" s="587"/>
      <c r="X100" s="586"/>
      <c r="Y100" s="586"/>
      <c r="Z100" s="586"/>
    </row>
    <row r="101" spans="1:26" ht="15" hidden="1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593" t="str">
        <f>IF($J$17=$A$146,"Encargos Sociais incidentes sobre a mão de obra","Administração Central")</f>
        <v>Administração Central</v>
      </c>
      <c r="K101" s="593"/>
      <c r="L101" s="593"/>
      <c r="M101" s="593"/>
      <c r="N101" s="593"/>
      <c r="O101" s="593"/>
      <c r="P101" s="593"/>
      <c r="Q101" s="593"/>
      <c r="R101" s="61" t="str">
        <f>IF($J97=$A$146,"K1","AC")</f>
        <v>AC</v>
      </c>
      <c r="S101" s="62"/>
      <c r="U101" s="594" t="s">
        <v>168</v>
      </c>
      <c r="V101" s="594"/>
      <c r="W101" s="594"/>
      <c r="X101" s="63" t="e">
        <f>VLOOKUP(CONCATENATE(J97,"-",R101),$C$2:$G$136,3,FALSE)</f>
        <v>#N/A</v>
      </c>
      <c r="Y101" s="63" t="e">
        <f>VLOOKUP(CONCATENATE(J97,"-",R101),$C$2:$G$136,4,FALSE)</f>
        <v>#N/A</v>
      </c>
      <c r="Z101" s="63" t="e">
        <f>VLOOKUP(CONCATENATE(J97,"-",R101),$C$2:$G$136,5,FALSE)</f>
        <v>#N/A</v>
      </c>
    </row>
    <row r="102" spans="1:26" ht="15" hidden="1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593" t="str">
        <f>IF($J$17=$A$146,"Administração Central da empresa ou consultoria - overhead","Seguro e Garantia")</f>
        <v>Seguro e Garantia</v>
      </c>
      <c r="K102" s="593"/>
      <c r="L102" s="593"/>
      <c r="M102" s="593"/>
      <c r="N102" s="593"/>
      <c r="O102" s="593"/>
      <c r="P102" s="593"/>
      <c r="Q102" s="593"/>
      <c r="R102" s="61" t="str">
        <f>IF($J97=$A$146,"K2","SG")</f>
        <v>SG</v>
      </c>
      <c r="S102" s="62"/>
      <c r="U102" s="594" t="s">
        <v>168</v>
      </c>
      <c r="V102" s="594"/>
      <c r="W102" s="594"/>
      <c r="X102" s="63" t="e">
        <f>VLOOKUP(CONCATENATE(J97,"-",R102),$C$2:$G$136,3,FALSE)</f>
        <v>#N/A</v>
      </c>
      <c r="Y102" s="63" t="e">
        <f>VLOOKUP(CONCATENATE(J97,"-",R102),$C$2:$G$136,4,FALSE)</f>
        <v>#N/A</v>
      </c>
      <c r="Z102" s="63" t="e">
        <f>VLOOKUP(CONCATENATE(J97,"-",R102),$C$2:$G$136,5,FALSE)</f>
        <v>#N/A</v>
      </c>
    </row>
    <row r="103" spans="1:26" ht="15" hidden="1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593" t="str">
        <f>IF($J$17=$A$146,"","Risco")</f>
        <v>Risco</v>
      </c>
      <c r="K103" s="593"/>
      <c r="L103" s="593"/>
      <c r="M103" s="593"/>
      <c r="N103" s="593"/>
      <c r="O103" s="593"/>
      <c r="P103" s="593"/>
      <c r="Q103" s="593"/>
      <c r="R103" s="61" t="str">
        <f>IF($J97=$A$146,"","R")</f>
        <v>R</v>
      </c>
      <c r="S103" s="62"/>
      <c r="U103" s="594" t="s">
        <v>168</v>
      </c>
      <c r="V103" s="594"/>
      <c r="W103" s="594"/>
      <c r="X103" s="63" t="e">
        <f>VLOOKUP(CONCATENATE(J97,"-",R103),$C$2:$G$136,3,FALSE)</f>
        <v>#N/A</v>
      </c>
      <c r="Y103" s="63" t="e">
        <f>VLOOKUP(CONCATENATE(J97,"-",R103),$C$2:$G$136,4,FALSE)</f>
        <v>#N/A</v>
      </c>
      <c r="Z103" s="63" t="e">
        <f>VLOOKUP(CONCATENATE(J97,"-",R103),$C$2:$G$136,5,FALSE)</f>
        <v>#N/A</v>
      </c>
    </row>
    <row r="104" spans="1:26" ht="15" hidden="1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593" t="str">
        <f>IF($J$17=$A$146,"","Despesas Financeiras")</f>
        <v>Despesas Financeiras</v>
      </c>
      <c r="K104" s="593"/>
      <c r="L104" s="593"/>
      <c r="M104" s="593"/>
      <c r="N104" s="593"/>
      <c r="O104" s="593"/>
      <c r="P104" s="593"/>
      <c r="Q104" s="593"/>
      <c r="R104" s="61" t="str">
        <f>IF($J97=$A$146,"","DF")</f>
        <v>DF</v>
      </c>
      <c r="S104" s="62"/>
      <c r="U104" s="594" t="s">
        <v>168</v>
      </c>
      <c r="V104" s="594"/>
      <c r="W104" s="594"/>
      <c r="X104" s="63" t="e">
        <f>VLOOKUP(CONCATENATE(J97,"-",R104),$C$2:$G$136,3,FALSE)</f>
        <v>#N/A</v>
      </c>
      <c r="Y104" s="63" t="e">
        <f>VLOOKUP(CONCATENATE(J97,"-",R104),$C$2:$G$136,4,FALSE)</f>
        <v>#N/A</v>
      </c>
      <c r="Z104" s="63" t="e">
        <f>VLOOKUP(CONCATENATE(J97,"-",R104),$C$2:$G$136,5,FALSE)</f>
        <v>#N/A</v>
      </c>
    </row>
    <row r="105" spans="1:26" ht="15" hidden="1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593" t="str">
        <f>IF($J$17=$A$146,"Margem bruta da empresa de consultoria","Lucro")</f>
        <v>Lucro</v>
      </c>
      <c r="K105" s="593"/>
      <c r="L105" s="593"/>
      <c r="M105" s="593"/>
      <c r="N105" s="593"/>
      <c r="O105" s="593"/>
      <c r="P105" s="593"/>
      <c r="Q105" s="593"/>
      <c r="R105" s="61" t="str">
        <f>IF($J97=$A$146,"K3","L")</f>
        <v>L</v>
      </c>
      <c r="S105" s="62"/>
      <c r="U105" s="594" t="s">
        <v>168</v>
      </c>
      <c r="V105" s="594"/>
      <c r="W105" s="594"/>
      <c r="X105" s="63" t="e">
        <f>VLOOKUP(CONCATENATE(J97,"-",R105),$C$2:$G$136,3,FALSE)</f>
        <v>#N/A</v>
      </c>
      <c r="Y105" s="63" t="e">
        <f>VLOOKUP(CONCATENATE(J97,"-",R105),$C$2:$G$136,4,FALSE)</f>
        <v>#N/A</v>
      </c>
      <c r="Z105" s="63" t="e">
        <f>VLOOKUP(CONCATENATE(J97,"-",R105),$C$2:$G$136,5,FALSE)</f>
        <v>#N/A</v>
      </c>
    </row>
    <row r="106" spans="1:26" ht="15" hidden="1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593" t="s">
        <v>170</v>
      </c>
      <c r="K106" s="593"/>
      <c r="L106" s="593"/>
      <c r="M106" s="593"/>
      <c r="N106" s="593"/>
      <c r="O106" s="593"/>
      <c r="P106" s="593"/>
      <c r="Q106" s="593"/>
      <c r="R106" s="61" t="s">
        <v>171</v>
      </c>
      <c r="S106" s="62"/>
      <c r="U106" s="594" t="s">
        <v>168</v>
      </c>
      <c r="V106" s="594"/>
      <c r="W106" s="594"/>
      <c r="X106" s="63">
        <v>3.6499999999999998E-2</v>
      </c>
      <c r="Y106" s="63">
        <v>3.6499999999999998E-2</v>
      </c>
      <c r="Z106" s="63">
        <v>3.6499999999999998E-2</v>
      </c>
    </row>
    <row r="107" spans="1:26" ht="15" hidden="1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593" t="s">
        <v>172</v>
      </c>
      <c r="K107" s="593"/>
      <c r="L107" s="593"/>
      <c r="M107" s="593"/>
      <c r="N107" s="593"/>
      <c r="O107" s="593"/>
      <c r="P107" s="593"/>
      <c r="Q107" s="593"/>
      <c r="R107" s="61" t="s">
        <v>173</v>
      </c>
      <c r="S107" s="63">
        <f ca="1">IF(AND($J97&lt;&gt;$A$145,COUNTA(OFFSET(S100,1,0,6))&gt;0),$R$11*$R$10,0)</f>
        <v>0</v>
      </c>
      <c r="U107" s="594" t="s">
        <v>168</v>
      </c>
      <c r="V107" s="594"/>
      <c r="W107" s="594"/>
      <c r="X107" s="63">
        <v>0</v>
      </c>
      <c r="Y107" s="63">
        <v>2.5000000000000001E-2</v>
      </c>
      <c r="Z107" s="63">
        <v>0.05</v>
      </c>
    </row>
    <row r="108" spans="1:26" ht="15" hidden="1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593" t="s">
        <v>174</v>
      </c>
      <c r="K108" s="593"/>
      <c r="L108" s="593"/>
      <c r="M108" s="593"/>
      <c r="N108" s="593"/>
      <c r="O108" s="593"/>
      <c r="P108" s="593"/>
      <c r="Q108" s="593"/>
      <c r="R108" s="61" t="s">
        <v>175</v>
      </c>
      <c r="S108" s="63">
        <f ca="1">IF(BDI.Opcao&lt;&gt;"Desonerado",0,IF(AND($J97&lt;&gt;$A$145,COUNTA(OFFSET(S100,1,0,6))&gt;0),4.5%,0%))</f>
        <v>0</v>
      </c>
      <c r="U108" s="594" t="s">
        <v>168</v>
      </c>
      <c r="V108" s="594"/>
      <c r="W108" s="594"/>
      <c r="X108" s="64">
        <v>0</v>
      </c>
      <c r="Y108" s="64">
        <v>4.4999999999999998E-2</v>
      </c>
      <c r="Z108" s="64">
        <v>4.4999999999999998E-2</v>
      </c>
    </row>
    <row r="109" spans="1:26" ht="15" hidden="1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593" t="s">
        <v>176</v>
      </c>
      <c r="K109" s="593"/>
      <c r="L109" s="593"/>
      <c r="M109" s="593"/>
      <c r="N109" s="593"/>
      <c r="O109" s="593"/>
      <c r="P109" s="593"/>
      <c r="Q109" s="593"/>
      <c r="R109" s="65" t="s">
        <v>152</v>
      </c>
      <c r="S109" s="63">
        <f ca="1">IF($J97=$A$145,0,ROUND((((1+S101+S102+S103)*(1+S104)*(1+S105)/(1-(S106+S107)))-1),4))</f>
        <v>0</v>
      </c>
      <c r="U109" s="587" t="e">
        <f ca="1">IF(OR($J$17=$A$146,$J$17=$A$145,AND(S109&gt;=X109,S109&lt;=Z109)),"OK","FORA DO INTERVALO")</f>
        <v>#N/A</v>
      </c>
      <c r="V109" s="587"/>
      <c r="W109" s="587"/>
      <c r="X109" s="63" t="e">
        <f>IF($J97=$A$145,0,VLOOKUP(CONCATENATE($J97,"-",$R109),$C$2:$G$136,3,FALSE))</f>
        <v>#N/A</v>
      </c>
      <c r="Y109" s="63" t="e">
        <f>IF($J97=$A$145,0,VLOOKUP(CONCATENATE($J97,"-",$R109),$C$2:$G$136,4,FALSE))</f>
        <v>#N/A</v>
      </c>
      <c r="Z109" s="63" t="e">
        <f>IF($J97=$A$145,0,VLOOKUP(CONCATENATE($J97,"-",$R109),$C$2:$G$136,5,FALSE))</f>
        <v>#N/A</v>
      </c>
    </row>
    <row r="110" spans="1:26" ht="15" hidden="1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598" t="s">
        <v>177</v>
      </c>
      <c r="K110" s="598"/>
      <c r="L110" s="598"/>
      <c r="M110" s="598"/>
      <c r="N110" s="598"/>
      <c r="O110" s="598"/>
      <c r="P110" s="598"/>
      <c r="Q110" s="598"/>
      <c r="R110" s="66" t="s">
        <v>178</v>
      </c>
      <c r="S110" s="67">
        <f ca="1">IF($J97=$A$145,0,ROUND((((1+S101+S102+S103)*(1+S104)*(1+S105)/(1-(S106+S107+S108)))-1),4))</f>
        <v>0</v>
      </c>
    </row>
    <row r="111" spans="1:26" ht="25.5" hidden="1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hidden="1" x14ac:dyDescent="0.2">
      <c r="A112"/>
      <c r="B112"/>
      <c r="C112"/>
      <c r="D112"/>
      <c r="E112"/>
      <c r="F112"/>
      <c r="G112"/>
      <c r="I112" t="str">
        <f t="shared" ca="1" si="2"/>
        <v/>
      </c>
      <c r="J112" s="68" t="e">
        <f ca="1">IF(U109&lt;&gt;"ok","X","")</f>
        <v>#N/A</v>
      </c>
      <c r="K112" s="599" t="e">
        <f ca="1">IF(U109&lt;&gt;"ok","Anexo: Relatório Técnico Circunstanciado justificando a adoção do percentual de cada parcela do BDI.","")</f>
        <v>#N/A</v>
      </c>
      <c r="L112" s="599"/>
      <c r="M112" s="599"/>
      <c r="N112" s="599"/>
      <c r="O112" s="599"/>
      <c r="P112" s="599"/>
      <c r="Q112" s="599"/>
      <c r="R112" s="599"/>
      <c r="S112" s="599"/>
    </row>
    <row r="113" spans="1:19" hidden="1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hidden="1" x14ac:dyDescent="0.2">
      <c r="A114"/>
      <c r="B114"/>
      <c r="C114"/>
      <c r="D114"/>
      <c r="E114"/>
      <c r="F114"/>
      <c r="G114"/>
      <c r="I114" t="str">
        <f t="shared" ca="1" si="2"/>
        <v/>
      </c>
      <c r="J114" s="600" t="s">
        <v>180</v>
      </c>
      <c r="K114" s="600"/>
      <c r="L114" s="600"/>
      <c r="M114" s="600"/>
      <c r="N114" s="600"/>
      <c r="O114" s="600"/>
      <c r="P114" s="600"/>
      <c r="Q114" s="600"/>
      <c r="R114" s="600"/>
      <c r="S114" s="600"/>
    </row>
    <row r="115" spans="1:19" ht="15.75" hidden="1" x14ac:dyDescent="0.25">
      <c r="A115"/>
      <c r="B115"/>
      <c r="C115"/>
      <c r="D115"/>
      <c r="E115"/>
      <c r="F115"/>
      <c r="G115"/>
      <c r="I115" t="str">
        <f t="shared" ca="1" si="2"/>
        <v/>
      </c>
      <c r="J115" s="69"/>
      <c r="K115" s="69"/>
      <c r="L115" s="69"/>
      <c r="M115" s="601" t="s">
        <v>181</v>
      </c>
      <c r="N115" s="608" t="str">
        <f>IF($J97=$A$146,"(1+K1+K2)*(1+K3)","(1+AC + S + R + G)*(1 + DF)*(1+L)")</f>
        <v>(1+AC + S + R + G)*(1 + DF)*(1+L)</v>
      </c>
      <c r="O115" s="608"/>
      <c r="P115" s="608"/>
      <c r="Q115" s="609" t="s">
        <v>182</v>
      </c>
      <c r="R115" s="69"/>
      <c r="S115" s="69"/>
    </row>
    <row r="116" spans="1:19" ht="15.75" hidden="1" x14ac:dyDescent="0.2">
      <c r="A116"/>
      <c r="B116"/>
      <c r="C116"/>
      <c r="D116"/>
      <c r="E116"/>
      <c r="F116"/>
      <c r="G116"/>
      <c r="I116" t="str">
        <f t="shared" ca="1" si="2"/>
        <v/>
      </c>
      <c r="J116" s="69"/>
      <c r="K116" s="69"/>
      <c r="L116" s="69"/>
      <c r="M116" s="601"/>
      <c r="N116" s="596" t="s">
        <v>183</v>
      </c>
      <c r="O116" s="596"/>
      <c r="P116" s="596"/>
      <c r="Q116" s="609"/>
      <c r="R116" s="69"/>
      <c r="S116" s="69"/>
    </row>
    <row r="117" spans="1:19" ht="15" hidden="1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69"/>
      <c r="K117" s="69"/>
      <c r="L117" s="69"/>
      <c r="M117" s="70"/>
      <c r="N117" s="72"/>
      <c r="O117" s="72"/>
      <c r="P117" s="72"/>
      <c r="Q117" s="71"/>
      <c r="R117" s="69"/>
      <c r="S117" s="69"/>
    </row>
    <row r="118" spans="1:19" ht="50.1" hidden="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597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118" s="597"/>
      <c r="L118" s="597"/>
      <c r="M118" s="597"/>
      <c r="N118" s="597"/>
      <c r="O118" s="597"/>
      <c r="P118" s="597"/>
      <c r="Q118" s="597"/>
      <c r="R118" s="597"/>
      <c r="S118" s="597"/>
    </row>
    <row r="119" spans="1:19" hidden="1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hidden="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597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120" s="597"/>
      <c r="L120" s="597"/>
      <c r="M120" s="597"/>
      <c r="N120" s="597"/>
      <c r="O120" s="597"/>
      <c r="P120" s="597"/>
      <c r="Q120" s="597"/>
      <c r="R120" s="597"/>
      <c r="S120" s="597"/>
    </row>
    <row r="121" spans="1:19" hidden="1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hidden="1" x14ac:dyDescent="0.2">
      <c r="A122"/>
      <c r="B122"/>
      <c r="C122"/>
      <c r="D122"/>
      <c r="E122"/>
      <c r="F122"/>
      <c r="G122"/>
      <c r="I122" t="str">
        <f t="shared" ca="1" si="2"/>
        <v/>
      </c>
      <c r="J122" s="50" t="s">
        <v>189</v>
      </c>
    </row>
    <row r="123" spans="1:19" ht="110.1" hidden="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610"/>
      <c r="K123" s="610"/>
      <c r="L123" s="610"/>
      <c r="M123" s="610"/>
      <c r="N123" s="610"/>
      <c r="O123" s="610"/>
      <c r="P123" s="610"/>
      <c r="Q123" s="610"/>
      <c r="R123" s="610"/>
      <c r="S123" s="610"/>
    </row>
    <row r="124" spans="1:19" hidden="1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hidden="1" x14ac:dyDescent="0.2">
      <c r="A125"/>
      <c r="B125"/>
      <c r="C125"/>
      <c r="D125"/>
      <c r="E125"/>
      <c r="F125"/>
      <c r="G125"/>
      <c r="I125" t="str">
        <f t="shared" ca="1" si="2"/>
        <v/>
      </c>
      <c r="J125" s="604" t="str">
        <f>Import.Município</f>
        <v>Caçapava do Sul/RS</v>
      </c>
      <c r="K125" s="604"/>
      <c r="L125" s="604"/>
      <c r="M125" s="604"/>
      <c r="P125" s="605">
        <f ca="1">DADOS!$F$25</f>
        <v>45545</v>
      </c>
      <c r="Q125" s="605"/>
      <c r="R125" s="605"/>
      <c r="S125" s="605"/>
    </row>
    <row r="126" spans="1:19" hidden="1" x14ac:dyDescent="0.2">
      <c r="A126"/>
      <c r="B126"/>
      <c r="C126"/>
      <c r="D126"/>
      <c r="E126"/>
      <c r="F126"/>
      <c r="G126"/>
      <c r="I126" t="str">
        <f t="shared" ca="1" si="2"/>
        <v/>
      </c>
      <c r="J126" s="606" t="s">
        <v>190</v>
      </c>
      <c r="K126" s="606"/>
      <c r="L126" s="606"/>
      <c r="M126" s="606"/>
      <c r="O126" s="74"/>
      <c r="P126" s="75" t="s">
        <v>191</v>
      </c>
      <c r="Q126" s="76"/>
      <c r="R126" s="76"/>
      <c r="S126" s="76"/>
    </row>
    <row r="127" spans="1:19" ht="30" hidden="1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hidden="1" x14ac:dyDescent="0.2">
      <c r="A128"/>
      <c r="B128"/>
      <c r="C128"/>
      <c r="D128"/>
      <c r="E128"/>
      <c r="F128"/>
      <c r="G128"/>
      <c r="I128" t="str">
        <f t="shared" ca="1" si="2"/>
        <v/>
      </c>
      <c r="J128" s="607"/>
      <c r="K128" s="607"/>
      <c r="L128" s="607"/>
      <c r="M128" s="607"/>
      <c r="N128" s="77"/>
    </row>
    <row r="129" spans="1:14" hidden="1" x14ac:dyDescent="0.2">
      <c r="A129"/>
      <c r="B129"/>
      <c r="C129"/>
      <c r="D129"/>
      <c r="E129"/>
      <c r="F129"/>
      <c r="G129"/>
      <c r="I129" t="str">
        <f t="shared" ca="1" si="2"/>
        <v/>
      </c>
      <c r="J129" s="602" t="s">
        <v>192</v>
      </c>
      <c r="K129" s="602"/>
      <c r="L129" s="602"/>
      <c r="M129" s="602"/>
    </row>
    <row r="130" spans="1:14" ht="14.25" hidden="1" x14ac:dyDescent="0.2">
      <c r="A130"/>
      <c r="B130"/>
      <c r="C130"/>
      <c r="D130"/>
      <c r="E130"/>
      <c r="F130"/>
      <c r="G130"/>
      <c r="I130" t="str">
        <f t="shared" ca="1" si="2"/>
        <v/>
      </c>
      <c r="J130" s="78" t="s">
        <v>109</v>
      </c>
      <c r="K130" s="79" t="str">
        <f t="array" ref="K130:K132">Import.RespOrçamento</f>
        <v>Fernando Cesar Nubias Pereira</v>
      </c>
      <c r="L130" s="80"/>
      <c r="M130" s="80"/>
      <c r="N130" s="77"/>
    </row>
    <row r="131" spans="1:14" ht="14.25" hidden="1" x14ac:dyDescent="0.2">
      <c r="A131"/>
      <c r="B131"/>
      <c r="C131"/>
      <c r="D131"/>
      <c r="E131"/>
      <c r="F131"/>
      <c r="G131"/>
      <c r="I131" t="str">
        <f t="shared" ca="1" si="2"/>
        <v/>
      </c>
      <c r="J131" s="78" t="s">
        <v>110</v>
      </c>
      <c r="K131" s="79" t="str">
        <v>RS A - 228673-4</v>
      </c>
      <c r="L131" s="80"/>
      <c r="M131" s="80"/>
      <c r="N131" s="77"/>
    </row>
    <row r="132" spans="1:14" ht="14.25" hidden="1" x14ac:dyDescent="0.2">
      <c r="A132"/>
      <c r="B132"/>
      <c r="C132"/>
      <c r="D132"/>
      <c r="E132"/>
      <c r="F132"/>
      <c r="G132"/>
      <c r="I132" t="str">
        <f t="shared" ca="1" si="2"/>
        <v/>
      </c>
      <c r="J132" s="78" t="s">
        <v>111</v>
      </c>
      <c r="K132" s="79" t="str">
        <v>13882809</v>
      </c>
      <c r="L132" s="80"/>
      <c r="M132" s="80"/>
      <c r="N132" s="77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50" t="s">
        <v>410</v>
      </c>
    </row>
    <row r="139" spans="1:14" x14ac:dyDescent="0.2">
      <c r="A139" s="50" t="s">
        <v>142</v>
      </c>
    </row>
    <row r="140" spans="1:14" x14ac:dyDescent="0.2">
      <c r="A140" s="50" t="s">
        <v>154</v>
      </c>
    </row>
    <row r="141" spans="1:14" x14ac:dyDescent="0.2">
      <c r="A141" s="50" t="s">
        <v>157</v>
      </c>
    </row>
    <row r="142" spans="1:14" x14ac:dyDescent="0.2">
      <c r="A142" s="50" t="s">
        <v>167</v>
      </c>
    </row>
    <row r="143" spans="1:14" x14ac:dyDescent="0.2">
      <c r="A143" s="50" t="s">
        <v>169</v>
      </c>
    </row>
    <row r="144" spans="1:14" x14ac:dyDescent="0.2">
      <c r="A144" s="50" t="s">
        <v>179</v>
      </c>
    </row>
    <row r="145" spans="1:1" x14ac:dyDescent="0.2">
      <c r="A145" s="50" t="s">
        <v>184</v>
      </c>
    </row>
    <row r="146" spans="1:1" x14ac:dyDescent="0.2">
      <c r="A146" s="50" t="s">
        <v>185</v>
      </c>
    </row>
  </sheetData>
  <sheetProtection password="BD1F" sheet="1" objects="1" scenarios="1" autoFilter="0"/>
  <autoFilter ref="I11:I132">
    <filterColumn colId="0">
      <filters>
        <filter val="F"/>
      </filters>
    </filterColumn>
  </autoFilter>
  <mergeCells count="144">
    <mergeCell ref="J129:M129"/>
    <mergeCell ref="J120:S120"/>
    <mergeCell ref="J123:S123"/>
    <mergeCell ref="J125:M125"/>
    <mergeCell ref="P125:S125"/>
    <mergeCell ref="J126:M126"/>
    <mergeCell ref="J128:M128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4:Q104"/>
    <mergeCell ref="J67:Q67"/>
    <mergeCell ref="J65:Q65"/>
    <mergeCell ref="J40:S40"/>
    <mergeCell ref="J43:S43"/>
    <mergeCell ref="J28:Q28"/>
    <mergeCell ref="J14:S14"/>
    <mergeCell ref="U107:W107"/>
    <mergeCell ref="N116:P116"/>
    <mergeCell ref="J108:Q108"/>
    <mergeCell ref="U108:W108"/>
    <mergeCell ref="J109:Q109"/>
    <mergeCell ref="U109:W109"/>
    <mergeCell ref="J110:Q110"/>
    <mergeCell ref="K112:S112"/>
    <mergeCell ref="U105:W105"/>
    <mergeCell ref="J106:Q106"/>
    <mergeCell ref="U106:W106"/>
    <mergeCell ref="U104:W104"/>
    <mergeCell ref="U103:W103"/>
    <mergeCell ref="J101:Q101"/>
    <mergeCell ref="U101:W101"/>
    <mergeCell ref="J96:S96"/>
    <mergeCell ref="J97:S97"/>
    <mergeCell ref="U99:W100"/>
    <mergeCell ref="J102:Q102"/>
    <mergeCell ref="U102:W102"/>
    <mergeCell ref="Y99:Y100"/>
    <mergeCell ref="Z99:Z100"/>
    <mergeCell ref="J99:Q100"/>
    <mergeCell ref="R99:R100"/>
    <mergeCell ref="S99:S100"/>
    <mergeCell ref="X99:X100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J94:S94"/>
    <mergeCell ref="J85:M85"/>
    <mergeCell ref="P85:S85"/>
    <mergeCell ref="J78:S78"/>
    <mergeCell ref="J70:Q70"/>
    <mergeCell ref="K72:S72"/>
    <mergeCell ref="J89:M89"/>
    <mergeCell ref="U65:W65"/>
    <mergeCell ref="J66:Q66"/>
    <mergeCell ref="U66:W66"/>
    <mergeCell ref="U67:W67"/>
    <mergeCell ref="J68:Q68"/>
    <mergeCell ref="U68:W68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Y59:Y60"/>
    <mergeCell ref="Z59:Z60"/>
    <mergeCell ref="J59:Q60"/>
    <mergeCell ref="R59:R60"/>
    <mergeCell ref="S59:S60"/>
    <mergeCell ref="U59:W60"/>
    <mergeCell ref="X59:X60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25:Q25"/>
    <mergeCell ref="U25:W25"/>
    <mergeCell ref="J26:Q26"/>
    <mergeCell ref="U26:W26"/>
    <mergeCell ref="J27:Q27"/>
    <mergeCell ref="U27:W27"/>
    <mergeCell ref="J23:Q23"/>
    <mergeCell ref="U23:W23"/>
    <mergeCell ref="J21:Q21"/>
    <mergeCell ref="U21:W21"/>
    <mergeCell ref="J22:Q22"/>
    <mergeCell ref="U22:W22"/>
    <mergeCell ref="X19:X20"/>
    <mergeCell ref="Y19:Y20"/>
    <mergeCell ref="J17:S17"/>
    <mergeCell ref="J5:K5"/>
    <mergeCell ref="L5:M5"/>
    <mergeCell ref="N5:S5"/>
    <mergeCell ref="R1:S1"/>
    <mergeCell ref="R2:S2"/>
    <mergeCell ref="J4:K4"/>
    <mergeCell ref="L4:M4"/>
    <mergeCell ref="N4:S4"/>
    <mergeCell ref="Z19:Z20"/>
    <mergeCell ref="U19:W20"/>
    <mergeCell ref="J19:Q20"/>
    <mergeCell ref="R19:R20"/>
    <mergeCell ref="S19:S20"/>
    <mergeCell ref="J11:Q11"/>
    <mergeCell ref="R11:S11"/>
    <mergeCell ref="J7:S7"/>
    <mergeCell ref="J8:S8"/>
    <mergeCell ref="J10:Q10"/>
    <mergeCell ref="R10:S10"/>
    <mergeCell ref="J16:S16"/>
  </mergeCells>
  <phoneticPr fontId="38" type="noConversion"/>
  <conditionalFormatting sqref="J30:S30 J70:S70 J110:S110">
    <cfRule type="expression" dxfId="300" priority="2" stopIfTrue="1">
      <formula>DESONERACAO="não"</formula>
    </cfRule>
  </conditionalFormatting>
  <conditionalFormatting sqref="U29:W29 U69:W69 U109:W109">
    <cfRule type="expression" dxfId="299" priority="3" stopIfTrue="1">
      <formula>AND(U29&lt;&gt;"OK",U29&lt;&gt;"-",U29&lt;&gt;"")</formula>
    </cfRule>
    <cfRule type="cellIs" dxfId="298" priority="4" stopIfTrue="1" operator="equal">
      <formula>"OK"</formula>
    </cfRule>
  </conditionalFormatting>
  <conditionalFormatting sqref="S29 S69 S109">
    <cfRule type="expression" dxfId="297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>
      <formula1>0</formula1>
      <formula2>1</formula2>
    </dataValidation>
    <dataValidation type="decimal" allowBlank="1" showErrorMessage="1" errorTitle="Erro de valores" error="Digite um valor maior do que 0." sqref="S27 S67 S107">
      <formula1>0</formula1>
      <formula2>1</formula2>
    </dataValidation>
    <dataValidation operator="greaterThanOrEqual" allowBlank="1" showErrorMessage="1" errorTitle="Erro de valores" error="Digite um valor igual a 0% ou 2%." sqref="S28 S68 S108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>
      <formula1>0</formula1>
      <formula2>1</formula2>
    </dataValidation>
    <dataValidation type="list" allowBlank="1" showErrorMessage="1" sqref="J17:S17 J57:S57 J97:S97">
      <formula1>BDI.TipoObra</formula1>
      <formula2>0</formula2>
    </dataValidation>
  </dataValidations>
  <pageMargins left="0.78740157480314965" right="0.78740157480314965" top="0.78740157480314965" bottom="0.78740157480314965" header="5.7086614173228352" footer="0.59055118110236227"/>
  <pageSetup paperSize="9" scale="79" firstPageNumber="0" fitToHeight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pageSetUpPr fitToPage="1"/>
  </sheetPr>
  <dimension ref="A1:AN49"/>
  <sheetViews>
    <sheetView showGridLines="0" view="pageBreakPreview" zoomScale="104" zoomScaleNormal="100" zoomScaleSheetLayoutView="104" workbookViewId="0">
      <pane xSplit="19" ySplit="15" topLeftCell="T16" activePane="bottomRight" state="frozen"/>
      <selection activeCell="L1" sqref="L1"/>
      <selection pane="topRight" activeCell="T1" sqref="T1"/>
      <selection pane="bottomLeft" activeCell="L16" sqref="L16"/>
      <selection pane="bottomRight" activeCell="R26" sqref="R26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M1" s="82"/>
      <c r="N1" s="82"/>
      <c r="R1" s="83" t="s">
        <v>195</v>
      </c>
      <c r="T1" s="83"/>
      <c r="X1" s="53" t="s">
        <v>141</v>
      </c>
      <c r="Y1" s="7"/>
      <c r="Z1" s="7"/>
      <c r="AA1" s="7"/>
      <c r="AB1" s="7"/>
    </row>
    <row r="2" spans="1:40" ht="15" x14ac:dyDescent="0.2"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R2" s="84" t="str">
        <f>IF(TIPOORCAMENTO="licitado","Orçamento Licitado","Orçamento Base para Licitação")&amp;" - "&amp;import.recurso</f>
        <v>Orçamento Base para Licitação - OGU</v>
      </c>
      <c r="X2" s="12" t="s">
        <v>144</v>
      </c>
      <c r="Y2" s="85"/>
      <c r="Z2" s="85"/>
      <c r="AA2" s="85"/>
      <c r="AB2" s="85"/>
    </row>
    <row r="3" spans="1:40" x14ac:dyDescent="0.2">
      <c r="H3" s="86"/>
      <c r="R3" s="87"/>
    </row>
    <row r="4" spans="1:40" x14ac:dyDescent="0.2">
      <c r="A4" t="s">
        <v>203</v>
      </c>
      <c r="F4" t="s">
        <v>158</v>
      </c>
      <c r="G4" t="s">
        <v>193</v>
      </c>
      <c r="H4" t="s">
        <v>194</v>
      </c>
      <c r="I4" s="88">
        <v>0</v>
      </c>
      <c r="O4" s="585" t="s">
        <v>147</v>
      </c>
      <c r="P4" s="585"/>
      <c r="Q4" s="89" t="s">
        <v>148</v>
      </c>
      <c r="R4" s="89" t="s">
        <v>149</v>
      </c>
      <c r="S4" s="585" t="s">
        <v>204</v>
      </c>
      <c r="T4" s="585"/>
      <c r="U4" s="585"/>
      <c r="V4" s="585"/>
      <c r="W4" s="585"/>
      <c r="X4" s="585"/>
      <c r="Y4" s="78"/>
      <c r="Z4" s="78"/>
      <c r="AA4" s="78"/>
      <c r="AB4" s="78"/>
    </row>
    <row r="5" spans="1:40" ht="12.75" customHeight="1" x14ac:dyDescent="0.2">
      <c r="A5" s="7">
        <f ca="1">MAX($C$15:$C$32)</f>
        <v>3</v>
      </c>
      <c r="B5" s="7"/>
      <c r="C5" s="7"/>
      <c r="F5" s="88">
        <f ca="1">IF(BDI.Opcao="DESONERADO",BDI!$S$30,BDI!$S$29)</f>
        <v>0.22869999999999999</v>
      </c>
      <c r="G5" s="88">
        <f ca="1">IF(BDI.Opcao="DESONERADO",BDI!$S$70,BDI!$S$69)</f>
        <v>0</v>
      </c>
      <c r="H5" s="88">
        <f ca="1">IF(BDI.Opcao="DESONERADO",BDI!$S$110,BDI!$S$109)</f>
        <v>0</v>
      </c>
      <c r="O5" s="582">
        <f>Import.CR</f>
        <v>0</v>
      </c>
      <c r="P5" s="582"/>
      <c r="Q5" s="92">
        <f>Import.SICONV</f>
        <v>0</v>
      </c>
      <c r="R5" s="93" t="str">
        <f>Import.Proponente</f>
        <v>Prefeitura Municipal de Caçapava do Sul</v>
      </c>
      <c r="S5" s="582" t="str">
        <f>Import.Apelido</f>
        <v>Calçamento da Rua Tomé Medeiros</v>
      </c>
      <c r="T5" s="582"/>
      <c r="U5" s="582"/>
      <c r="V5" s="582"/>
      <c r="W5" s="582"/>
      <c r="X5" s="582"/>
      <c r="Y5" s="94"/>
      <c r="Z5" s="94"/>
      <c r="AA5" s="94"/>
      <c r="AB5" s="94"/>
      <c r="AE5" s="621" t="s">
        <v>202</v>
      </c>
      <c r="AF5" s="621"/>
    </row>
    <row r="6" spans="1:40" ht="5.0999999999999996" customHeight="1" x14ac:dyDescent="0.2">
      <c r="A6" s="7"/>
      <c r="B6" s="7"/>
      <c r="C6" s="7"/>
      <c r="H6" s="86"/>
      <c r="O6" s="95"/>
      <c r="P6" s="95"/>
      <c r="Q6" s="96"/>
      <c r="R6" s="96"/>
      <c r="S6" s="95"/>
      <c r="T6" s="95"/>
      <c r="U6" s="95"/>
      <c r="V6" s="95"/>
      <c r="W6" s="95"/>
      <c r="X6" s="95"/>
      <c r="Y6" s="94"/>
      <c r="Z6" s="94"/>
      <c r="AA6" s="94"/>
      <c r="AB6" s="94"/>
      <c r="AC6" s="97"/>
      <c r="AE6" s="90"/>
      <c r="AF6" s="91"/>
    </row>
    <row r="7" spans="1:40" ht="12.75" customHeight="1" x14ac:dyDescent="0.2">
      <c r="H7" s="86"/>
      <c r="O7" s="585" t="s">
        <v>206</v>
      </c>
      <c r="P7" s="585"/>
      <c r="Q7" s="89" t="s">
        <v>207</v>
      </c>
      <c r="R7" s="89" t="str">
        <f>IF(TIPOORCAMENTO="Licitado","NOME DA EMPRESA","DESCRIÇÃO DO LOTE")</f>
        <v>DESCRIÇÃO DO LOTE</v>
      </c>
      <c r="S7" s="622" t="str">
        <f>IF(TIPOORCAMENTO="Licitado","REGIME DE EXECUÇÃO","MUNICÍPIO / UF")</f>
        <v>MUNICÍPIO / UF</v>
      </c>
      <c r="T7" s="622"/>
      <c r="U7" s="622"/>
      <c r="V7" s="99" t="str">
        <f>IF(TIPOORCAMENTO="Licitado","","BDI 1")</f>
        <v>BDI 1</v>
      </c>
      <c r="W7" s="99" t="str">
        <f>IF(TIPOORCAMENTO="Licitado","","BDI 2")</f>
        <v>BDI 2</v>
      </c>
      <c r="X7" s="100" t="str">
        <f>IF(TIPOORCAMENTO="Licitado","Nº CTEF","BDI 3")</f>
        <v>BDI 3</v>
      </c>
      <c r="Y7" s="99"/>
      <c r="Z7" s="99"/>
      <c r="AE7" s="90" t="s">
        <v>205</v>
      </c>
      <c r="AF7" s="91" t="b">
        <v>1</v>
      </c>
      <c r="AJ7" s="625" t="s">
        <v>209</v>
      </c>
      <c r="AL7" s="623" t="s">
        <v>210</v>
      </c>
    </row>
    <row r="8" spans="1:40" ht="12.75" customHeight="1" x14ac:dyDescent="0.2">
      <c r="A8" s="7"/>
      <c r="B8" s="7"/>
      <c r="C8" s="7"/>
      <c r="F8" s="619" t="str">
        <f ca="1">IF(LEN(INFO("release"))&gt;5,"'Referência "&amp;Excel_BuiltIn_Database&amp;".xls'#Banco.$a5:$a$65536","'[Referência "&amp;Excel_BuiltIn_Database&amp;".xls]Banco'!$a5:$a$65536")</f>
        <v>'[Referência 04-2024.xls]Banco'!$a5:$a$65536</v>
      </c>
      <c r="G8" s="619"/>
      <c r="H8" s="619"/>
      <c r="I8" s="619"/>
      <c r="J8" s="619"/>
      <c r="K8" s="619"/>
      <c r="L8" s="611" t="s">
        <v>211</v>
      </c>
      <c r="O8" s="582" t="str">
        <f ca="1">IF(ISERROR(INDIRECT($F$9)),"(N/D: 'Referência "&amp;Excel_BuiltIn_Database&amp;".xls)",INDIRECT($F$9))</f>
        <v>(N/D: 'Referência 04-2024.xls)</v>
      </c>
      <c r="P8" s="582"/>
      <c r="Q8" s="101" t="str">
        <f ca="1">TEXT(Import.DataBase,"mm-aa")&amp;IF(DESONERACAO="Sim"," (DES.)"," (N DES.)")</f>
        <v>04-24 (N DES.)</v>
      </c>
      <c r="R8" s="93" t="str">
        <f>IF(TIPOORCAMENTO="Licitado",Import.empresa,Import.DescLote)</f>
        <v>Lote Único - Empreitada Preço Global</v>
      </c>
      <c r="S8" s="620" t="str">
        <f>IF(TIPOORCAMENTO="Licitado",Import.RegimeExecução,Import.Município)</f>
        <v>Caçapava do Sul/RS</v>
      </c>
      <c r="T8" s="620"/>
      <c r="U8" s="620"/>
      <c r="V8" s="102" t="str">
        <f ca="1">IF(TIPOORCAMENTO="Licitado","",TEXT(F5,"0,00%"))</f>
        <v>22,87%</v>
      </c>
      <c r="W8" s="102" t="str">
        <f ca="1">IF(TIPOORCAMENTO="Licitado","",TEXT(G5,"0,00%"))</f>
        <v>0,00%</v>
      </c>
      <c r="X8" s="103" t="str">
        <f ca="1">IF(TIPOORCAMENTO="Licitado",Import.CTEF,TEXT(H5,"0,00%"))</f>
        <v>0,00%</v>
      </c>
      <c r="Y8" s="611" t="s">
        <v>212</v>
      </c>
      <c r="Z8" s="611" t="s">
        <v>213</v>
      </c>
      <c r="AA8" s="104"/>
      <c r="AB8" s="104"/>
      <c r="AE8" s="90" t="s">
        <v>208</v>
      </c>
      <c r="AF8" s="91" t="b">
        <v>1</v>
      </c>
      <c r="AJ8" s="625"/>
      <c r="AL8" s="623"/>
    </row>
    <row r="9" spans="1:40" ht="12.75" customHeight="1" x14ac:dyDescent="0.2">
      <c r="F9" s="619" t="str">
        <f ca="1">IF(LEN(INFO("release"))&gt;5,"'Referência "&amp;Excel_BuiltIn_Database&amp;".xls'#Banco.$d$3","'[Referência "&amp;Excel_BuiltIn_Database&amp;".xls]Banco'!$d$3")</f>
        <v>'[Referência 04-2024.xls]Banco'!$d$3</v>
      </c>
      <c r="G9" s="619"/>
      <c r="H9" s="619"/>
      <c r="I9" s="619"/>
      <c r="J9" s="619"/>
      <c r="K9" s="619"/>
      <c r="L9" s="611"/>
      <c r="Y9" s="611"/>
      <c r="Z9" s="611"/>
      <c r="AE9" s="90" t="s">
        <v>214</v>
      </c>
      <c r="AF9" s="91" t="b">
        <v>1</v>
      </c>
      <c r="AJ9" s="625"/>
      <c r="AL9" s="623"/>
    </row>
    <row r="10" spans="1:40" x14ac:dyDescent="0.2">
      <c r="G10" s="86"/>
      <c r="H10" s="86"/>
      <c r="L10" s="611"/>
      <c r="Y10" s="611"/>
      <c r="Z10" s="611"/>
      <c r="AC10" s="105" t="s">
        <v>216</v>
      </c>
      <c r="AE10" s="90" t="s">
        <v>215</v>
      </c>
      <c r="AF10" s="91" t="b">
        <v>1</v>
      </c>
      <c r="AJ10" s="625"/>
      <c r="AL10" s="623"/>
    </row>
    <row r="11" spans="1:40" x14ac:dyDescent="0.2">
      <c r="G11" s="86"/>
      <c r="H11" s="106"/>
      <c r="L11" s="611"/>
      <c r="Y11" s="611"/>
      <c r="Z11" s="611"/>
      <c r="AC11" s="107" t="str">
        <f ca="1">IF(COUNTIF($AC$15:OFFSET($AC$32,-1,0),"DESCRIÇÃO")+COUNTIF($AC$15:OFFSET($AC$32,-1,0),"UNIDADE")+COUNTIF($AC$15:OFFSET($AC$32,-1,0),"SEM VALOR")&gt;0,"NÃO OK","OK")</f>
        <v>OK</v>
      </c>
      <c r="AE11" s="90" t="s">
        <v>217</v>
      </c>
      <c r="AF11" s="91" t="b">
        <v>1</v>
      </c>
      <c r="AJ11" s="625"/>
      <c r="AL11" s="623"/>
    </row>
    <row r="12" spans="1:40" x14ac:dyDescent="0.2">
      <c r="G12" s="86"/>
      <c r="H12" s="86"/>
      <c r="L12" s="611"/>
      <c r="Y12" s="611"/>
      <c r="Z12" s="611"/>
      <c r="AA12" s="624" t="s">
        <v>218</v>
      </c>
      <c r="AB12" s="624"/>
      <c r="AJ12" s="108" t="s">
        <v>219</v>
      </c>
      <c r="AL12" s="551" t="s">
        <v>219</v>
      </c>
    </row>
    <row r="13" spans="1:40" ht="35.1" customHeight="1" x14ac:dyDescent="0.2">
      <c r="A13" s="109" t="s">
        <v>220</v>
      </c>
      <c r="B13" s="109" t="s">
        <v>221</v>
      </c>
      <c r="C13" s="109" t="s">
        <v>222</v>
      </c>
      <c r="D13" s="109" t="s">
        <v>223</v>
      </c>
      <c r="E13" s="109" t="s">
        <v>224</v>
      </c>
      <c r="F13" s="109" t="s">
        <v>225</v>
      </c>
      <c r="G13" s="109" t="s">
        <v>226</v>
      </c>
      <c r="H13" s="109" t="s">
        <v>227</v>
      </c>
      <c r="I13" s="109" t="s">
        <v>228</v>
      </c>
      <c r="J13" s="109" t="s">
        <v>229</v>
      </c>
      <c r="K13" s="109" t="s">
        <v>230</v>
      </c>
      <c r="L13" s="108" t="s">
        <v>219</v>
      </c>
      <c r="M13" s="109" t="s">
        <v>231</v>
      </c>
      <c r="N13" s="110" t="s">
        <v>232</v>
      </c>
      <c r="O13" s="109" t="s">
        <v>233</v>
      </c>
      <c r="P13" s="109" t="s">
        <v>234</v>
      </c>
      <c r="Q13" s="109" t="s">
        <v>235</v>
      </c>
      <c r="R13" s="109" t="s">
        <v>236</v>
      </c>
      <c r="S13" s="111" t="s">
        <v>237</v>
      </c>
      <c r="T13" s="109" t="s">
        <v>205</v>
      </c>
      <c r="U13" s="109" t="str">
        <f>IF(TIPOORCAMENTO="Licitado","","Custo Unitário (sem BDI) (R$)")</f>
        <v>Custo Unitário (sem BDI) (R$)</v>
      </c>
      <c r="V13" s="109" t="str">
        <f>IF(TIPOORCAMENTO="Licitado","","BDI
(%)")</f>
        <v>BDI
(%)</v>
      </c>
      <c r="W13" s="109" t="s">
        <v>238</v>
      </c>
      <c r="X13" s="109" t="s">
        <v>239</v>
      </c>
      <c r="Y13" s="108" t="s">
        <v>219</v>
      </c>
      <c r="Z13" s="108" t="s">
        <v>219</v>
      </c>
      <c r="AA13" s="112" t="s">
        <v>240</v>
      </c>
      <c r="AB13" s="113" t="s">
        <v>241</v>
      </c>
      <c r="AC13" s="109" t="s">
        <v>242</v>
      </c>
      <c r="AD13" s="114" t="s">
        <v>243</v>
      </c>
      <c r="AE13" s="114" t="s">
        <v>244</v>
      </c>
      <c r="AF13" s="114" t="s">
        <v>245</v>
      </c>
      <c r="AG13" s="167" t="s">
        <v>419</v>
      </c>
      <c r="AH13" s="497" t="str">
        <f>IF(TIPOORCAMENTO="LICITADO","Valor BDI Edital","Valor BDI")</f>
        <v>Valor BDI</v>
      </c>
      <c r="AJ13" s="336" t="s">
        <v>205</v>
      </c>
      <c r="AL13" s="336" t="s">
        <v>238</v>
      </c>
      <c r="AM13" s="167" t="s">
        <v>246</v>
      </c>
      <c r="AN13" s="168" t="s">
        <v>415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IF($C14=1,OFFSET(E14,-1,0)+MAX(1,COUNTIF(QCI!$A$13:$A$15,OFFSET(ORÇAMENTO!E14,-1,0))),OFFSET(E14,-1,0))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IF(OR($C14="S",$C14=0),0,MATCH(0,OFFSET($D14,1,$C14,ROW($C$32)-ROW($C14)),0))</f>
        <v>0</v>
      </c>
      <c r="K14">
        <f ca="1">IF(OR($C14="S",$C14=0),0,MATCH(OFFSET($D14,0,$C14)+IF($C14&lt;&gt;1,1,COUNTIF(QCI!$A$13:$A$15,ORÇAMENTO!E14)),OFFSET($D14,1,$C14,ROW($C$32)-ROW($C14)),0))</f>
        <v>0</v>
      </c>
      <c r="L14" s="116" t="str">
        <f ca="1">IF(OR($X14&gt;0,$C14=1,$C14=2,$C14=3,$C14=4),"F","")</f>
        <v/>
      </c>
      <c r="M14" s="117" t="s">
        <v>201</v>
      </c>
      <c r="N14" s="118" t="str">
        <f ca="1">CHOOSE(1+LOG(1+2*(C14=1)+4*(C14=2)+8*(C14=3)+16*(C14=4)+32*(C14="S"),2),"","Meta","Nível 2","Nível 3","Nível 4","Serviço")</f>
        <v>Serviço</v>
      </c>
      <c r="O14" s="119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20" t="s">
        <v>249</v>
      </c>
      <c r="Q14" s="121"/>
      <c r="R14" s="122" t="str">
        <f ca="1">IF($C14="S",REFERENCIA.Descricao,"(digite a descrição aqui)")</f>
        <v>(abra o arquivo 'Referência 04-2024.xls)</v>
      </c>
      <c r="S14" s="123" t="str">
        <f ca="1">REFERENCIA.Unidade</f>
        <v>-</v>
      </c>
      <c r="T14" s="124">
        <f ca="1">OFFSET(CÁLCULO!H$15,ROW($T14)-ROW(T$15),0)</f>
        <v>0</v>
      </c>
      <c r="U14" s="125"/>
      <c r="V14" s="126" t="s">
        <v>158</v>
      </c>
      <c r="W14" s="124">
        <f ca="1">IF($C14="S",ROUND(IF(TIPOORCAMENTO="Proposto",ORÇAMENTO.CustoUnitario*(1+$AH14),ORÇAMENTO.PrecoUnitarioLicitado),15-13*$AF$10),0)</f>
        <v>0</v>
      </c>
      <c r="X14" s="127">
        <f ca="1">IF($C14="S",VTOTAL1,IF($C14=0,0,ROUND(SomaAgrup,15-13*$AF$11)))</f>
        <v>0</v>
      </c>
      <c r="Y14" s="128" t="s">
        <v>247</v>
      </c>
      <c r="Z14" t="str">
        <f ca="1">IF(AND($C14="S",$X14&gt;0),IF(ISBLANK($Y14),"RA",LEFT($Y14,2)),"")</f>
        <v/>
      </c>
      <c r="AA14" s="129">
        <f ca="1">IF($C14="S",IF($Z14="CP",$X14,IF($Z14="RA",(($X14)*QCI!$AA$3),0)),SomaAgrup)</f>
        <v>0</v>
      </c>
      <c r="AB14" s="130">
        <f ca="1">IF($C14="S",IF($Z14="OU",ROUND($X14,2),0),SomaAgrup)</f>
        <v>0</v>
      </c>
      <c r="AC14" s="131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t="str">
        <f ca="1">IF(C14&lt;=CRONO.NivelExibicao,MAX($AD$15:OFFSET(AD14,-1,0))+IF($C14&lt;&gt;1,1,MAX(1,COUNTIF(QCI!$A$13:$A$15,OFFSET($E14,-1,0)))),"")</f>
        <v/>
      </c>
      <c r="AE14" s="7" t="b">
        <f ca="1">IF(AND($C14="S",ORÇAMENTO.CodBarra&lt;&gt;""),IF(ORÇAMENTO.Fonte="",ORÇAMENTO.CodBarra,CONCATENATE(ORÇAMENTO.Fonte," ",ORÇAMENTO.CodBarra)))</f>
        <v>0</v>
      </c>
      <c r="AF14" s="13" t="str">
        <f ca="1">IF(ISERROR(INDIRECT(ORÇAMENTO.BancoRef)),"(abra o arquivo 'Referência "&amp;Excel_BuiltIn_Database&amp;".xls)",IF(OR($C14&lt;&gt;"S",ORÇAMENTO.CodBarra=""),"(Sem Código)",IF(ISERROR(MATCH($AE14,INDIRECT(ORÇAMENTO.BancoRef),0)),"(Código não identificado nas referências)",MATCH($AE14,INDIRECT(ORÇAMENTO.BancoRef),0))))</f>
        <v>(abra o arquivo 'Referência 04-2024.xls)</v>
      </c>
      <c r="AG14" s="498">
        <f ca="1">ROUND(IF(DESONERACAO="sim",REFERENCIA.Desonerado,REFERENCIA.NaoDesonerado),2)</f>
        <v>0</v>
      </c>
      <c r="AH14" s="499">
        <f ca="1">ROUND(IF(ISNUMBER(ORÇAMENTO.OpcaoBDI),ORÇAMENTO.OpcaoBDI,IF(LEFT(ORÇAMENTO.OpcaoBDI,3)="BDI",HLOOKUP(ORÇAMENTO.OpcaoBDI,$F$4:$H$5,2,FALSE),0)),15-11*$AF$9)</f>
        <v>0.22869999999999999</v>
      </c>
      <c r="AJ14" s="501"/>
      <c r="AL14" s="527"/>
      <c r="AM14" s="380">
        <f t="shared" ref="AM14:AM31" ca="1" si="0">$X14</f>
        <v>0</v>
      </c>
      <c r="AN14" s="566">
        <f ca="1">ROUND(ORÇAMENTO.CustoUnitario*(1+$AH14),2)</f>
        <v>0</v>
      </c>
    </row>
    <row r="15" spans="1:40" x14ac:dyDescent="0.2">
      <c r="A15">
        <v>0</v>
      </c>
      <c r="C15" t="s">
        <v>151</v>
      </c>
      <c r="D15">
        <f ca="1">COUNTA(OFFSET(D15,1,0):D$32)</f>
        <v>16</v>
      </c>
      <c r="E15">
        <v>0</v>
      </c>
      <c r="L15" s="116" t="s">
        <v>248</v>
      </c>
      <c r="M15" s="132" t="str">
        <f>IF(TIPOORCAMENTO="LICITADO","CTEF","LOTE")</f>
        <v>LOTE</v>
      </c>
      <c r="N15" s="132" t="str">
        <f>IF(TIPOORCAMENTO="LICITADO","CTEF","LOTE")</f>
        <v>LOTE</v>
      </c>
      <c r="O15" s="613" t="str">
        <f>Import.DescLote</f>
        <v>Lote Único - Empreitada Preço Global</v>
      </c>
      <c r="P15" s="613"/>
      <c r="Q15" s="613"/>
      <c r="R15" s="613"/>
      <c r="S15" s="133"/>
      <c r="T15" s="134"/>
      <c r="U15" s="134"/>
      <c r="V15" s="135"/>
      <c r="W15" s="134"/>
      <c r="X15" s="136">
        <f ca="1">SUMIF(OFFSET($C15,1,0,ROW(X32)-ROW(X15)-1),"S",OFFSET(X15,1,0,ROW(X32)-ROW(X15)-1))</f>
        <v>0</v>
      </c>
      <c r="Y15" s="7"/>
      <c r="Z15" t="str">
        <f ca="1">IF(AND($C15="S",$X15&gt;0),LEFT($Y15,2),"")</f>
        <v/>
      </c>
      <c r="AA15" s="496">
        <f ca="1">SUMIF(OFFSET($C15,1,0,ROW(AA32)-ROW(AA15)-1),"S",OFFSET(AA15,1,0,ROW(AA32)-ROW(AA15)-1))</f>
        <v>0</v>
      </c>
      <c r="AB15" s="137">
        <f ca="1">SUMIF(OFFSET($C15,1,0,ROW(AB32)-ROW(AB15)-1),"S",OFFSET(AB15,1,0,ROW(AB32)-ROW(AB15)-1))</f>
        <v>0</v>
      </c>
      <c r="AC15" s="131"/>
      <c r="AG15" s="529"/>
      <c r="AH15" s="530"/>
      <c r="AJ15" s="500"/>
      <c r="AL15" s="528"/>
      <c r="AM15" s="567">
        <f t="shared" ca="1" si="0"/>
        <v>0</v>
      </c>
      <c r="AN15" s="568"/>
    </row>
    <row r="16" spans="1:40" x14ac:dyDescent="0.2">
      <c r="A16">
        <f t="shared" ref="A16:A27" si="1">CHOOSE(1+LOG(1+2*(ORÇAMENTO.Nivel="Meta")+4*(ORÇAMENTO.Nivel="Nível 2")+8*(ORÇAMENTO.Nivel="Nível 3")+16*(ORÇAMENTO.Nivel="Nível 4")+32*(ORÇAMENTO.Nivel="Serviço"),2),0,1,2,3,4,"S")</f>
        <v>1</v>
      </c>
      <c r="B16">
        <f t="shared" ref="B16:B27" ca="1" si="2">IF(OR(C16="s",C16=0),OFFSET(B16,-1,0),C16)</f>
        <v>1</v>
      </c>
      <c r="C16">
        <f t="shared" ref="C16:C27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27" ca="1" si="4">IF(OR(C16="S",C16=0),0,IF(ISERROR(K16),J16,SMALL(J16:K16,1)))</f>
        <v>16</v>
      </c>
      <c r="E16">
        <f ca="1">IF($C16=1,OFFSET(E16,-1,0)+MAX(1,COUNTIF(QCI!$A$13:$A$15,OFFSET(ORÇAMENTO!E16,-1,0))),OFFSET(E16,-1,0))</f>
        <v>1</v>
      </c>
      <c r="F16">
        <f t="shared" ref="F16:F27" ca="1" si="5">IF($C16=1,0,IF($C16=2,OFFSET(F16,-1,0)+1,OFFSET(F16,-1,0)))</f>
        <v>0</v>
      </c>
      <c r="G16">
        <f t="shared" ref="G16:G27" ca="1" si="6">IF(AND($C16&lt;=2,$C16&lt;&gt;0),0,IF($C16=3,OFFSET(G16,-1,0)+1,OFFSET(G16,-1,0)))</f>
        <v>0</v>
      </c>
      <c r="H16">
        <f t="shared" ref="H16:H27" ca="1" si="7">IF(AND($C16&lt;=3,$C16&lt;&gt;0),0,IF($C16=4,OFFSET(H16,-1,0)+1,OFFSET(H16,-1,0)))</f>
        <v>0</v>
      </c>
      <c r="I16">
        <f t="shared" ref="I16:I27" ca="1" si="8">IF(AND($C16&lt;=4,$C16&lt;&gt;0),0,IF(AND($C16="S",$X16&gt;0),OFFSET(I16,-1,0)+1,OFFSET(I16,-1,0)))</f>
        <v>0</v>
      </c>
      <c r="J16">
        <f t="shared" ref="J16:J31" ca="1" si="9">IF(OR($C16="S",$C16=0),0,MATCH(0,OFFSET($D16,1,$C16,ROW($C$32)-ROW($C16)),0))</f>
        <v>16</v>
      </c>
      <c r="K16" t="e">
        <f ca="1">IF(OR($C16="S",$C16=0),0,MATCH(OFFSET($D16,0,$C16)+IF($C16&lt;&gt;1,1,COUNTIF(QCI!$A$13:$A$15,ORÇAMENTO!E16)),OFFSET($D16,1,$C16,ROW($C$32)-ROW($C16)),0))</f>
        <v>#N/A</v>
      </c>
      <c r="L16" s="116" t="str">
        <f t="shared" ref="L16:L27" ca="1" si="10">IF(OR($X16&gt;0,$C16=1,$C16=2,$C16=3,$C16=4),"F","")</f>
        <v>F</v>
      </c>
      <c r="M16" s="117" t="s">
        <v>197</v>
      </c>
      <c r="N16" s="118" t="str">
        <f t="shared" ref="N16:N27" ca="1" si="11">CHOOSE(1+LOG(1+2*(C16=1)+4*(C16=2)+8*(C16=3)+16*(C16=4)+32*(C16="S"),2),"","Meta","Nível 2","Nível 3","Nível 4","Serviço")</f>
        <v>Meta</v>
      </c>
      <c r="O16" s="119" t="str">
        <f t="shared" ref="O16:O27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20" t="s">
        <v>249</v>
      </c>
      <c r="Q16" s="121"/>
      <c r="R16" s="122" t="s">
        <v>487</v>
      </c>
      <c r="S16" s="123" t="s">
        <v>168</v>
      </c>
      <c r="T16" s="124">
        <f ca="1">OFFSET(CÁLCULO!H$15,ROW($T16)-ROW(T$15),0)</f>
        <v>0</v>
      </c>
      <c r="U16" s="125"/>
      <c r="V16" s="126" t="s">
        <v>158</v>
      </c>
      <c r="W16" s="124">
        <f t="shared" ref="W16:W27" ca="1" si="13">IF($C16="S",ROUND(IF(TIPOORCAMENTO="Proposto",ORÇAMENTO.CustoUnitario*(1+$AH16),ORÇAMENTO.PrecoUnitarioLicitado),15-13*$AF$10),0)</f>
        <v>0</v>
      </c>
      <c r="X16" s="127">
        <f t="shared" ref="X16:X27" ca="1" si="14">IF($C16="S",VTOTAL1,IF($C16=0,0,ROUND(SomaAgrup,15-13*$AF$11)))</f>
        <v>0</v>
      </c>
      <c r="Y16" s="128" t="s">
        <v>247</v>
      </c>
      <c r="Z16" t="str">
        <f t="shared" ref="Z16:Z27" ca="1" si="15">IF(AND($C16="S",$X16&gt;0),IF(ISBLANK($Y16),"RA",LEFT($Y16,2)),"")</f>
        <v/>
      </c>
      <c r="AA16" s="129">
        <f ca="1">IF($C16="S",IF($Z16="CP",$X16,IF($Z16="RA",(($X16)*QCI!$AA$3),0)),SomaAgrup)</f>
        <v>0</v>
      </c>
      <c r="AB16" s="130">
        <f t="shared" ref="AB16:AB27" ca="1" si="16">IF($C16="S",IF($Z16="OU",ROUND($X16,2),0),SomaAgrup)</f>
        <v>0</v>
      </c>
      <c r="AC16" s="131" t="str">
        <f t="shared" ref="AC16:AC27" ca="1" si="17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>
        <f ca="1">IF(C16&lt;=CRONO.NivelExibicao,MAX($AD$15:OFFSET(AD16,-1,0))+IF($C16&lt;&gt;1,1,MAX(1,COUNTIF(QCI!$A$13:$A$15,OFFSET($E16,-1,0)))),"")</f>
        <v>1</v>
      </c>
      <c r="AE16" s="7" t="b">
        <f t="shared" ref="AE16:AE27" ca="1" si="18">IF(AND($C16="S",ORÇAMENTO.CodBarra&lt;&gt;""),IF(ORÇAMENTO.Fonte="",ORÇAMENTO.CodBarra,CONCATENATE(ORÇAMENTO.Fonte," ",ORÇAMENTO.CodBarra)))</f>
        <v>0</v>
      </c>
      <c r="AF16" s="13" t="str">
        <f t="shared" ref="AF16:AF27" ca="1" si="19">IF(ISERROR(INDIRECT(ORÇAMENTO.BancoRef)),"(abra o arquivo 'Referência "&amp;Excel_BuiltIn_Database&amp;".xls)",IF(OR($C16&lt;&gt;"S",ORÇAMENTO.CodBarra=""),"(Sem Código)",IF(ISERROR(MATCH($AE16,INDIRECT(ORÇAMENTO.BancoRef),0)),"(Código não identificado nas referências)",MATCH($AE16,INDIRECT(ORÇAMENTO.BancoRef),0))))</f>
        <v>(abra o arquivo 'Referência 04-2024.xls)</v>
      </c>
      <c r="AG16" s="498">
        <f t="shared" ref="AG16:AG27" ca="1" si="20">ROUND(IF(DESONERACAO="sim",REFERENCIA.Desonerado,REFERENCIA.NaoDesonerado),2)</f>
        <v>0</v>
      </c>
      <c r="AH16" s="499">
        <f t="shared" ref="AH16:AH27" ca="1" si="21">ROUND(IF(ISNUMBER(ORÇAMENTO.OpcaoBDI),ORÇAMENTO.OpcaoBDI,IF(LEFT(ORÇAMENTO.OpcaoBDI,3)="BDI",HLOOKUP(ORÇAMENTO.OpcaoBDI,$F$4:$H$5,2,FALSE),0)),15-11*$AF$9)</f>
        <v>0.22869999999999999</v>
      </c>
      <c r="AJ16" s="501"/>
      <c r="AL16" s="527"/>
      <c r="AM16" s="380">
        <f t="shared" ca="1" si="0"/>
        <v>0</v>
      </c>
      <c r="AN16" s="566">
        <f t="shared" ref="AN16:AN27" ca="1" si="22">ROUND(ORÇAMENTO.CustoUnitario*(1+$AH16),2)</f>
        <v>0</v>
      </c>
    </row>
    <row r="17" spans="1:40" x14ac:dyDescent="0.2">
      <c r="A17">
        <f t="shared" si="1"/>
        <v>2</v>
      </c>
      <c r="B17">
        <f t="shared" ca="1" si="2"/>
        <v>2</v>
      </c>
      <c r="C17">
        <f t="shared" ca="1" si="3"/>
        <v>2</v>
      </c>
      <c r="D17">
        <f t="shared" ca="1" si="4"/>
        <v>2</v>
      </c>
      <c r="E17">
        <f ca="1">IF($C17=1,OFFSET(E17,-1,0)+MAX(1,COUNTIF(QCI!$A$13:$A$15,OFFSET(ORÇAMENTO!E17,-1,0))),OFFSET(E17,-1,0))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15</v>
      </c>
      <c r="K17">
        <f ca="1">IF(OR($C17="S",$C17=0),0,MATCH(OFFSET($D17,0,$C17)+IF($C17&lt;&gt;1,1,COUNTIF(QCI!$A$13:$A$15,ORÇAMENTO!E17)),OFFSET($D17,1,$C17,ROW($C$32)-ROW($C17)),0))</f>
        <v>2</v>
      </c>
      <c r="L17" s="116" t="str">
        <f t="shared" ca="1" si="10"/>
        <v>F</v>
      </c>
      <c r="M17" s="117" t="s">
        <v>198</v>
      </c>
      <c r="N17" s="118" t="str">
        <f t="shared" ca="1" si="11"/>
        <v>Nível 2</v>
      </c>
      <c r="O17" s="119" t="str">
        <f t="shared" ca="1" si="12"/>
        <v>1.1.</v>
      </c>
      <c r="P17" s="120" t="s">
        <v>249</v>
      </c>
      <c r="Q17" s="121"/>
      <c r="R17" s="122" t="s">
        <v>465</v>
      </c>
      <c r="S17" s="123" t="str">
        <f ca="1">REFERENCIA.Unidade</f>
        <v>-</v>
      </c>
      <c r="T17" s="124">
        <f ca="1">OFFSET(CÁLCULO!H$15,ROW($T17)-ROW(T$15),0)</f>
        <v>0</v>
      </c>
      <c r="U17" s="125"/>
      <c r="V17" s="126" t="s">
        <v>158</v>
      </c>
      <c r="W17" s="124">
        <f t="shared" ca="1" si="13"/>
        <v>0</v>
      </c>
      <c r="X17" s="127">
        <f t="shared" ca="1" si="14"/>
        <v>0</v>
      </c>
      <c r="Y17" s="128" t="s">
        <v>247</v>
      </c>
      <c r="Z17" t="str">
        <f t="shared" ca="1" si="15"/>
        <v/>
      </c>
      <c r="AA17" s="129">
        <f ca="1">IF($C17="S",IF($Z17="CP",$X17,IF($Z17="RA",(($X17)*QCI!$AA$3),0)),SomaAgrup)</f>
        <v>0</v>
      </c>
      <c r="AB17" s="130">
        <f t="shared" ca="1" si="16"/>
        <v>0</v>
      </c>
      <c r="AC17" s="131" t="str">
        <f t="shared" ca="1" si="17"/>
        <v/>
      </c>
      <c r="AD17">
        <f ca="1">IF(C17&lt;=CRONO.NivelExibicao,MAX($AD$15:OFFSET(AD17,-1,0))+IF($C17&lt;&gt;1,1,MAX(1,COUNTIF(QCI!$A$13:$A$15,OFFSET($E17,-1,0)))),"")</f>
        <v>2</v>
      </c>
      <c r="AE17" s="7" t="b">
        <f t="shared" ca="1" si="18"/>
        <v>0</v>
      </c>
      <c r="AF17" s="13" t="str">
        <f t="shared" ca="1" si="19"/>
        <v>(abra o arquivo 'Referência 04-2024.xls)</v>
      </c>
      <c r="AG17" s="498">
        <f t="shared" ca="1" si="20"/>
        <v>0</v>
      </c>
      <c r="AH17" s="499">
        <f t="shared" ca="1" si="21"/>
        <v>0.22869999999999999</v>
      </c>
      <c r="AJ17" s="501"/>
      <c r="AL17" s="527"/>
      <c r="AM17" s="380">
        <f t="shared" ca="1" si="0"/>
        <v>0</v>
      </c>
      <c r="AN17" s="566">
        <f t="shared" ca="1" si="22"/>
        <v>0</v>
      </c>
    </row>
    <row r="18" spans="1:40" x14ac:dyDescent="0.2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IF($C18=1,OFFSET(E18,-1,0)+MAX(1,COUNTIF(QCI!$A$13:$A$15,OFFSET(ORÇAMENTO!E18,-1,0))),OFFSET(E18,-1,0))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0</v>
      </c>
      <c r="J18">
        <f t="shared" ca="1" si="9"/>
        <v>0</v>
      </c>
      <c r="K18">
        <f ca="1">IF(OR($C18="S",$C18=0),0,MATCH(OFFSET($D18,0,$C18)+IF($C18&lt;&gt;1,1,COUNTIF(QCI!$A$13:$A$15,ORÇAMENTO!E18)),OFFSET($D18,1,$C18,ROW($C$32)-ROW($C18)),0))</f>
        <v>0</v>
      </c>
      <c r="L18" s="116" t="str">
        <f t="shared" ca="1" si="10"/>
        <v/>
      </c>
      <c r="M18" s="117" t="s">
        <v>201</v>
      </c>
      <c r="N18" s="118" t="str">
        <f t="shared" ca="1" si="11"/>
        <v>Serviço</v>
      </c>
      <c r="O18" s="119" t="str">
        <f t="shared" ca="1" si="12"/>
        <v>-</v>
      </c>
      <c r="P18" s="120" t="s">
        <v>462</v>
      </c>
      <c r="Q18" s="121" t="s">
        <v>457</v>
      </c>
      <c r="R18" s="122" t="str">
        <f ca="1">IF($C18="S",REFERENCIA.Descricao,"(digite a descrição aqui)")</f>
        <v>(abra o arquivo 'Referência 04-2024.xls)</v>
      </c>
      <c r="S18" s="123" t="str">
        <f ca="1">REFERENCIA.Unidade</f>
        <v>-</v>
      </c>
      <c r="T18" s="124">
        <f ca="1">OFFSET(CÁLCULO!H$15,ROW($T18)-ROW(T$15),0)</f>
        <v>1</v>
      </c>
      <c r="U18" s="125">
        <f t="shared" ref="U18" ca="1" si="23">AG18</f>
        <v>0</v>
      </c>
      <c r="V18" s="126" t="s">
        <v>158</v>
      </c>
      <c r="W18" s="124">
        <f t="shared" ca="1" si="13"/>
        <v>0</v>
      </c>
      <c r="X18" s="127">
        <f t="shared" ca="1" si="14"/>
        <v>0</v>
      </c>
      <c r="Y18" s="128" t="s">
        <v>247</v>
      </c>
      <c r="Z18" t="str">
        <f t="shared" ca="1" si="15"/>
        <v/>
      </c>
      <c r="AA18" s="129">
        <f ca="1">IF($C18="S",IF($Z18="CP",$X18,IF($Z18="RA",(($X18)*QCI!$AA$3),0)),SomaAgrup)</f>
        <v>0</v>
      </c>
      <c r="AB18" s="130">
        <f t="shared" ca="1" si="16"/>
        <v>0</v>
      </c>
      <c r="AC18" s="131" t="str">
        <f t="shared" ca="1" si="17"/>
        <v/>
      </c>
      <c r="AD18" t="str">
        <f ca="1">IF(C18&lt;=CRONO.NivelExibicao,MAX($AD$15:OFFSET(AD18,-1,0))+IF($C18&lt;&gt;1,1,MAX(1,COUNTIF(QCI!$A$13:$A$15,OFFSET($E18,-1,0)))),"")</f>
        <v/>
      </c>
      <c r="AE18" s="7" t="str">
        <f t="shared" ca="1" si="18"/>
        <v>Composição 020</v>
      </c>
      <c r="AF18" s="13" t="str">
        <f t="shared" ca="1" si="19"/>
        <v>(abra o arquivo 'Referência 04-2024.xls)</v>
      </c>
      <c r="AG18" s="498">
        <f t="shared" ca="1" si="20"/>
        <v>0</v>
      </c>
      <c r="AH18" s="499">
        <f t="shared" ca="1" si="21"/>
        <v>0.22869999999999999</v>
      </c>
      <c r="AJ18" s="501">
        <v>1</v>
      </c>
      <c r="AL18" s="527"/>
      <c r="AM18" s="380">
        <f t="shared" ca="1" si="0"/>
        <v>0</v>
      </c>
      <c r="AN18" s="566">
        <f t="shared" ca="1" si="22"/>
        <v>0</v>
      </c>
    </row>
    <row r="19" spans="1:40" x14ac:dyDescent="0.2">
      <c r="A19">
        <f t="shared" si="1"/>
        <v>2</v>
      </c>
      <c r="B19">
        <f t="shared" ca="1" si="2"/>
        <v>2</v>
      </c>
      <c r="C19">
        <f t="shared" ca="1" si="3"/>
        <v>2</v>
      </c>
      <c r="D19">
        <f t="shared" ca="1" si="4"/>
        <v>2</v>
      </c>
      <c r="E19">
        <f ca="1">IF($C19=1,OFFSET(E19,-1,0)+MAX(1,COUNTIF(QCI!$A$13:$A$15,OFFSET(ORÇAMENTO!E19,-1,0))),OFFSET(E19,-1,0))</f>
        <v>1</v>
      </c>
      <c r="F19">
        <f t="shared" ca="1" si="5"/>
        <v>2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13</v>
      </c>
      <c r="K19">
        <f ca="1">IF(OR($C19="S",$C19=0),0,MATCH(OFFSET($D19,0,$C19)+IF($C19&lt;&gt;1,1,COUNTIF(QCI!$A$13:$A$15,ORÇAMENTO!E19)),OFFSET($D19,1,$C19,ROW($C$32)-ROW($C19)),0))</f>
        <v>2</v>
      </c>
      <c r="L19" s="116" t="str">
        <f t="shared" ca="1" si="10"/>
        <v>F</v>
      </c>
      <c r="M19" s="117" t="s">
        <v>198</v>
      </c>
      <c r="N19" s="118" t="str">
        <f t="shared" ca="1" si="11"/>
        <v>Nível 2</v>
      </c>
      <c r="O19" s="119" t="str">
        <f t="shared" ca="1" si="12"/>
        <v>1.2.</v>
      </c>
      <c r="P19" s="120" t="s">
        <v>249</v>
      </c>
      <c r="Q19" s="121"/>
      <c r="R19" s="122" t="s">
        <v>443</v>
      </c>
      <c r="S19" s="123" t="s">
        <v>168</v>
      </c>
      <c r="T19" s="124">
        <f ca="1">OFFSET(CÁLCULO!H$15,ROW($T19)-ROW(T$15),0)</f>
        <v>0</v>
      </c>
      <c r="U19" s="125">
        <v>0</v>
      </c>
      <c r="V19" s="126" t="s">
        <v>158</v>
      </c>
      <c r="W19" s="124">
        <f t="shared" ca="1" si="13"/>
        <v>0</v>
      </c>
      <c r="X19" s="127">
        <f t="shared" ca="1" si="14"/>
        <v>0</v>
      </c>
      <c r="Y19" s="128" t="s">
        <v>247</v>
      </c>
      <c r="Z19" t="str">
        <f t="shared" ca="1" si="15"/>
        <v/>
      </c>
      <c r="AA19" s="129">
        <f ca="1">IF($C19="S",IF($Z19="CP",$X19,IF($Z19="RA",(($X19)*QCI!$AA$3),0)),SomaAgrup)</f>
        <v>0</v>
      </c>
      <c r="AB19" s="130">
        <f t="shared" ca="1" si="16"/>
        <v>0</v>
      </c>
      <c r="AC19" s="131" t="str">
        <f t="shared" ca="1" si="17"/>
        <v/>
      </c>
      <c r="AD19">
        <f ca="1">IF(C19&lt;=CRONO.NivelExibicao,MAX($AD$15:OFFSET(AD19,-1,0))+IF($C19&lt;&gt;1,1,MAX(1,COUNTIF(QCI!$A$13:$A$15,OFFSET($E19,-1,0)))),"")</f>
        <v>3</v>
      </c>
      <c r="AE19" s="7" t="b">
        <f t="shared" ca="1" si="18"/>
        <v>0</v>
      </c>
      <c r="AF19" s="13" t="str">
        <f t="shared" ca="1" si="19"/>
        <v>(abra o arquivo 'Referência 04-2024.xls)</v>
      </c>
      <c r="AG19" s="498">
        <f t="shared" ca="1" si="20"/>
        <v>0</v>
      </c>
      <c r="AH19" s="499">
        <f t="shared" ca="1" si="21"/>
        <v>0.22869999999999999</v>
      </c>
      <c r="AJ19" s="501"/>
      <c r="AL19" s="527"/>
      <c r="AM19" s="380">
        <f t="shared" ca="1" si="0"/>
        <v>0</v>
      </c>
      <c r="AN19" s="566">
        <f t="shared" ca="1" si="22"/>
        <v>0</v>
      </c>
    </row>
    <row r="20" spans="1:40" ht="25.5" x14ac:dyDescent="0.2">
      <c r="A20" t="str">
        <f t="shared" si="1"/>
        <v>S</v>
      </c>
      <c r="B20">
        <f t="shared" ca="1" si="2"/>
        <v>2</v>
      </c>
      <c r="C20" t="str">
        <f t="shared" ca="1" si="3"/>
        <v>S</v>
      </c>
      <c r="D20">
        <f t="shared" ca="1" si="4"/>
        <v>0</v>
      </c>
      <c r="E20">
        <f ca="1">IF($C20=1,OFFSET(E20,-1,0)+MAX(1,COUNTIF(QCI!$A$13:$A$15,OFFSET(ORÇAMENTO!E20,-1,0))),OFFSET(E20,-1,0))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0</v>
      </c>
      <c r="J20">
        <f t="shared" ca="1" si="9"/>
        <v>0</v>
      </c>
      <c r="K20">
        <f ca="1">IF(OR($C20="S",$C20=0),0,MATCH(OFFSET($D20,0,$C20)+IF($C20&lt;&gt;1,1,COUNTIF(QCI!$A$13:$A$15,ORÇAMENTO!E20)),OFFSET($D20,1,$C20,ROW($C$32)-ROW($C20)),0))</f>
        <v>0</v>
      </c>
      <c r="L20" s="116" t="str">
        <f t="shared" ca="1" si="10"/>
        <v/>
      </c>
      <c r="M20" s="117" t="s">
        <v>201</v>
      </c>
      <c r="N20" s="118" t="str">
        <f t="shared" ca="1" si="11"/>
        <v>Serviço</v>
      </c>
      <c r="O20" s="119" t="str">
        <f t="shared" ca="1" si="12"/>
        <v>-</v>
      </c>
      <c r="P20" s="120" t="s">
        <v>249</v>
      </c>
      <c r="Q20" s="121" t="s">
        <v>467</v>
      </c>
      <c r="R20" s="122" t="str">
        <f ca="1">IF($C20="S",REFERENCIA.Descricao,"(digite a descrição aqui)")</f>
        <v>(abra o arquivo 'Referência 04-2024.xls)</v>
      </c>
      <c r="S20" s="123" t="str">
        <f ca="1">REFERENCIA.Unidade</f>
        <v>-</v>
      </c>
      <c r="T20" s="124">
        <f ca="1">OFFSET(CÁLCULO!H$15,ROW($T20)-ROW(T$15),0)</f>
        <v>6.48</v>
      </c>
      <c r="U20" s="125">
        <f t="shared" ref="U20:U23" ca="1" si="24">AG20</f>
        <v>0</v>
      </c>
      <c r="V20" s="126" t="s">
        <v>158</v>
      </c>
      <c r="W20" s="124">
        <f t="shared" ca="1" si="13"/>
        <v>0</v>
      </c>
      <c r="X20" s="127">
        <f t="shared" ca="1" si="14"/>
        <v>0</v>
      </c>
      <c r="Y20" s="128" t="s">
        <v>247</v>
      </c>
      <c r="Z20" t="str">
        <f t="shared" ca="1" si="15"/>
        <v/>
      </c>
      <c r="AA20" s="129">
        <f ca="1">IF($C20="S",IF($Z20="CP",$X20,IF($Z20="RA",(($X20)*QCI!$AA$3),0)),SomaAgrup)</f>
        <v>0</v>
      </c>
      <c r="AB20" s="130">
        <f t="shared" ca="1" si="16"/>
        <v>0</v>
      </c>
      <c r="AC20" s="131" t="str">
        <f t="shared" ca="1" si="17"/>
        <v/>
      </c>
      <c r="AD20" t="str">
        <f ca="1">IF(C20&lt;=CRONO.NivelExibicao,MAX($AD$15:OFFSET(AD20,-1,0))+IF($C20&lt;&gt;1,1,MAX(1,COUNTIF(QCI!$A$13:$A$15,OFFSET($E20,-1,0)))),"")</f>
        <v/>
      </c>
      <c r="AE20" s="7" t="str">
        <f t="shared" ca="1" si="18"/>
        <v>SINAPI 103689</v>
      </c>
      <c r="AF20" s="13" t="str">
        <f t="shared" ca="1" si="19"/>
        <v>(abra o arquivo 'Referência 04-2024.xls)</v>
      </c>
      <c r="AG20" s="498">
        <f t="shared" ca="1" si="20"/>
        <v>0</v>
      </c>
      <c r="AH20" s="499">
        <f t="shared" ca="1" si="21"/>
        <v>0.22869999999999999</v>
      </c>
      <c r="AJ20" s="501">
        <f>3.6*1.8</f>
        <v>6.48</v>
      </c>
      <c r="AL20" s="527"/>
      <c r="AM20" s="380">
        <f t="shared" ca="1" si="0"/>
        <v>0</v>
      </c>
      <c r="AN20" s="566">
        <f t="shared" ca="1" si="22"/>
        <v>0</v>
      </c>
    </row>
    <row r="21" spans="1:40" x14ac:dyDescent="0.2">
      <c r="A21">
        <f>CHOOSE(1+LOG(1+2*(ORÇAMENTO.Nivel="Meta")+4*(ORÇAMENTO.Nivel="Nível 2")+8*(ORÇAMENTO.Nivel="Nível 3")+16*(ORÇAMENTO.Nivel="Nível 4")+32*(ORÇAMENTO.Nivel="Serviço"),2),0,1,2,3,4,"S")</f>
        <v>2</v>
      </c>
      <c r="B21">
        <f t="shared" ref="B21:B22" ca="1" si="25">IF(OR(C21="s",C21=0),OFFSET(B21,-1,0),C21)</f>
        <v>2</v>
      </c>
      <c r="C21">
        <f t="shared" ref="C21:C22" ca="1" si="26">IF(OFFSET(C21,-1,0)="L",1,IF(OFFSET(C21,-1,0)=1,2,IF(OR(A21="s",A21=0),"S",IF(AND(OFFSET(C21,-1,0)=2,A21=4),3,IF(AND(OR(OFFSET(C21,-1,0)="s",OFFSET(C21,-1,0)=0),A21&lt;&gt;"s",A21&gt;OFFSET(B21,-1,0)),OFFSET(B21,-1,0),A21)))))</f>
        <v>2</v>
      </c>
      <c r="D21">
        <f t="shared" ref="D21:D22" ca="1" si="27">IF(OR(C21="S",C21=0),0,IF(ISERROR(K21),J21,SMALL(J21:K21,1)))</f>
        <v>2</v>
      </c>
      <c r="E21">
        <f ca="1">IF($C21=1,OFFSET(E21,-1,0)+MAX(1,COUNTIF(QCI!$A$13:$A$15,OFFSET(ORÇAMENTO!E21,-1,0))),OFFSET(E21,-1,0))</f>
        <v>1</v>
      </c>
      <c r="F21">
        <f t="shared" ref="F21:F22" ca="1" si="28">IF($C21=1,0,IF($C21=2,OFFSET(F21,-1,0)+1,OFFSET(F21,-1,0)))</f>
        <v>3</v>
      </c>
      <c r="G21">
        <f t="shared" ref="G21:G22" ca="1" si="29">IF(AND($C21&lt;=2,$C21&lt;&gt;0),0,IF($C21=3,OFFSET(G21,-1,0)+1,OFFSET(G21,-1,0)))</f>
        <v>0</v>
      </c>
      <c r="H21">
        <f t="shared" ref="H21:H22" ca="1" si="30">IF(AND($C21&lt;=3,$C21&lt;&gt;0),0,IF($C21=4,OFFSET(H21,-1,0)+1,OFFSET(H21,-1,0)))</f>
        <v>0</v>
      </c>
      <c r="I21">
        <f t="shared" ref="I21:I22" ca="1" si="31">IF(AND($C21&lt;=4,$C21&lt;&gt;0),0,IF(AND($C21="S",$X21&gt;0),OFFSET(I21,-1,0)+1,OFFSET(I21,-1,0)))</f>
        <v>0</v>
      </c>
      <c r="J21">
        <f t="shared" ca="1" si="9"/>
        <v>11</v>
      </c>
      <c r="K21">
        <f ca="1">IF(OR($C21="S",$C21=0),0,MATCH(OFFSET($D21,0,$C21)+IF($C21&lt;&gt;1,1,COUNTIF(QCI!$A$13:$A$15,ORÇAMENTO!E21)),OFFSET($D21,1,$C21,ROW($C$32)-ROW($C21)),0))</f>
        <v>2</v>
      </c>
      <c r="L21" s="116" t="str">
        <f t="shared" ref="L21:L22" ca="1" si="32">IF(OR($X21&gt;0,$C21=1,$C21=2,$C21=3,$C21=4),"F","")</f>
        <v>F</v>
      </c>
      <c r="M21" s="117" t="s">
        <v>198</v>
      </c>
      <c r="N21" s="118" t="str">
        <f t="shared" ref="N21:N22" ca="1" si="33">CHOOSE(1+LOG(1+2*(C21=1)+4*(C21=2)+8*(C21=3)+16*(C21=4)+32*(C21="S"),2),"","Meta","Nível 2","Nível 3","Nível 4","Serviço")</f>
        <v>Nível 2</v>
      </c>
      <c r="O21" s="119" t="str">
        <f t="shared" ref="O21:O22" ca="1" si="34">IF(OR($C21=0,$L21=""),"-",CONCATENATE(E21&amp;".",IF(AND($A$5&gt;=2,$C21&gt;=2),F21&amp;".",""),IF(AND($A$5&gt;=3,$C21&gt;=3),G21&amp;".",""),IF(AND($A$5&gt;=4,$C21&gt;=4),H21&amp;".",""),IF($C21="S",I21&amp;".","")))</f>
        <v>1.3.</v>
      </c>
      <c r="P21" s="120" t="s">
        <v>249</v>
      </c>
      <c r="Q21" s="121"/>
      <c r="R21" s="122" t="s">
        <v>466</v>
      </c>
      <c r="S21" s="123" t="str">
        <f ca="1">REFERENCIA.Unidade</f>
        <v>-</v>
      </c>
      <c r="T21" s="124">
        <f ca="1">OFFSET(CÁLCULO!H$15,ROW($T21)-ROW(T$15),0)</f>
        <v>0</v>
      </c>
      <c r="U21" s="125"/>
      <c r="V21" s="126" t="s">
        <v>158</v>
      </c>
      <c r="W21" s="124">
        <f ca="1">IF($C21="S",ROUND(IF(TIPOORCAMENTO="Proposto",ORÇAMENTO.CustoUnitario*(1+$AH21),ORÇAMENTO.PrecoUnitarioLicitado),15-13*$AF$10),0)</f>
        <v>0</v>
      </c>
      <c r="X21" s="127">
        <f ca="1">IF($C21="S",VTOTAL1,IF($C21=0,0,ROUND(SomaAgrup,15-13*$AF$11)))</f>
        <v>0</v>
      </c>
      <c r="Y21" s="128" t="s">
        <v>247</v>
      </c>
      <c r="Z21" t="str">
        <f t="shared" ref="Z21:Z22" ca="1" si="35">IF(AND($C21="S",$X21&gt;0),IF(ISBLANK($Y21),"RA",LEFT($Y21,2)),"")</f>
        <v/>
      </c>
      <c r="AA21" s="129">
        <f ca="1">IF($C21="S",IF($Z21="CP",$X21,IF($Z21="RA",(($X21)*QCI!$AA$3),0)),SomaAgrup)</f>
        <v>0</v>
      </c>
      <c r="AB21" s="130">
        <f ca="1">IF($C21="S",IF($Z21="OU",ROUND($X21,2),0),SomaAgrup)</f>
        <v>0</v>
      </c>
      <c r="AC21" s="131" t="str">
        <f ca="1">IF($N21="","",IF(ORÇAMENTO.Descricao="","DESCRIÇÃO",IF(AND($C21="S",ORÇAMENTO.Unidade=""),"UNIDADE",IF($X21&lt;0,"VALOR NEGATIVO",IF(OR(AND(TIPOORCAMENTO="Proposto",$AG21&lt;&gt;"",$AG21&gt;0,ORÇAMENTO.CustoUnitario&gt;$AG21),AND(TIPOORCAMENTO="LICITADO",ORÇAMENTO.PrecoUnitarioLicitado&gt;$AN21)),"ACIMA REF.","")))))</f>
        <v/>
      </c>
      <c r="AD21">
        <f ca="1">IF(C21&lt;=CRONO.NivelExibicao,MAX($AD$15:OFFSET(AD21,-1,0))+IF($C21&lt;&gt;1,1,MAX(1,COUNTIF(QCI!$A$13:$A$15,OFFSET($E21,-1,0)))),"")</f>
        <v>4</v>
      </c>
      <c r="AE21" s="7" t="b">
        <f ca="1">IF(AND($C21="S",ORÇAMENTO.CodBarra&lt;&gt;""),IF(ORÇAMENTO.Fonte="",ORÇAMENTO.CodBarra,CONCATENATE(ORÇAMENTO.Fonte," ",ORÇAMENTO.CodBarra)))</f>
        <v>0</v>
      </c>
      <c r="AF21" s="13" t="str">
        <f ca="1">IF(ISERROR(INDIRECT(ORÇAMENTO.BancoRef)),"(abra o arquivo 'Referência "&amp;Excel_BuiltIn_Database&amp;".xls)",IF(OR($C21&lt;&gt;"S",ORÇAMENTO.CodBarra=""),"(Sem Código)",IF(ISERROR(MATCH($AE21,INDIRECT(ORÇAMENTO.BancoRef),0)),"(Código não identificado nas referências)",MATCH($AE21,INDIRECT(ORÇAMENTO.BancoRef),0))))</f>
        <v>(abra o arquivo 'Referência 04-2024.xls)</v>
      </c>
      <c r="AG21" s="498">
        <f ca="1">ROUND(IF(DESONERACAO="sim",REFERENCIA.Desonerado,REFERENCIA.NaoDesonerado),2)</f>
        <v>0</v>
      </c>
      <c r="AH21" s="499">
        <f ca="1">ROUND(IF(ISNUMBER(ORÇAMENTO.OpcaoBDI),ORÇAMENTO.OpcaoBDI,IF(LEFT(ORÇAMENTO.OpcaoBDI,3)="BDI",HLOOKUP(ORÇAMENTO.OpcaoBDI,$F$4:$H$5,2,FALSE),0)),15-11*$AF$9)</f>
        <v>0.22869999999999999</v>
      </c>
      <c r="AJ21" s="501"/>
      <c r="AL21" s="527"/>
      <c r="AM21" s="380">
        <f t="shared" ca="1" si="0"/>
        <v>0</v>
      </c>
      <c r="AN21" s="566">
        <f ca="1">ROUND(ORÇAMENTO.CustoUnitario*(1+$AH21),2)</f>
        <v>0</v>
      </c>
    </row>
    <row r="22" spans="1:40" ht="25.5" x14ac:dyDescent="0.2">
      <c r="A22" t="str">
        <f>CHOOSE(1+LOG(1+2*(ORÇAMENTO.Nivel="Meta")+4*(ORÇAMENTO.Nivel="Nível 2")+8*(ORÇAMENTO.Nivel="Nível 3")+16*(ORÇAMENTO.Nivel="Nível 4")+32*(ORÇAMENTO.Nivel="Serviço"),2),0,1,2,3,4,"S")</f>
        <v>S</v>
      </c>
      <c r="B22">
        <f t="shared" ca="1" si="25"/>
        <v>2</v>
      </c>
      <c r="C22" t="str">
        <f t="shared" ca="1" si="26"/>
        <v>S</v>
      </c>
      <c r="D22">
        <f t="shared" ca="1" si="27"/>
        <v>0</v>
      </c>
      <c r="E22">
        <f ca="1">IF($C22=1,OFFSET(E22,-1,0)+MAX(1,COUNTIF(QCI!$A$13:$A$15,OFFSET(ORÇAMENTO!E22,-1,0))),OFFSET(E22,-1,0))</f>
        <v>1</v>
      </c>
      <c r="F22">
        <f t="shared" ca="1" si="28"/>
        <v>3</v>
      </c>
      <c r="G22">
        <f t="shared" ca="1" si="29"/>
        <v>0</v>
      </c>
      <c r="H22">
        <f t="shared" ca="1" si="30"/>
        <v>0</v>
      </c>
      <c r="I22">
        <f t="shared" ca="1" si="31"/>
        <v>0</v>
      </c>
      <c r="J22">
        <f t="shared" ca="1" si="9"/>
        <v>0</v>
      </c>
      <c r="K22">
        <f ca="1">IF(OR($C22="S",$C22=0),0,MATCH(OFFSET($D22,0,$C22)+IF($C22&lt;&gt;1,1,COUNTIF(QCI!$A$13:$A$15,ORÇAMENTO!E22)),OFFSET($D22,1,$C22,ROW($C$32)-ROW($C22)),0))</f>
        <v>0</v>
      </c>
      <c r="L22" s="116" t="str">
        <f t="shared" ca="1" si="32"/>
        <v/>
      </c>
      <c r="M22" s="117" t="s">
        <v>201</v>
      </c>
      <c r="N22" s="118" t="str">
        <f t="shared" ca="1" si="33"/>
        <v>Serviço</v>
      </c>
      <c r="O22" s="119" t="str">
        <f t="shared" ca="1" si="34"/>
        <v>-</v>
      </c>
      <c r="P22" s="120" t="s">
        <v>249</v>
      </c>
      <c r="Q22" s="121" t="s">
        <v>440</v>
      </c>
      <c r="R22" s="122" t="str">
        <f ca="1">IF($C22="S",REFERENCIA.Descricao,"(digite a descrição aqui)")</f>
        <v>(abra o arquivo 'Referência 04-2024.xls)</v>
      </c>
      <c r="S22" s="123" t="str">
        <f ca="1">REFERENCIA.Unidade</f>
        <v>-</v>
      </c>
      <c r="T22" s="124">
        <f ca="1">OFFSET(CÁLCULO!H$15,ROW($T22)-ROW(T$15),0)</f>
        <v>310</v>
      </c>
      <c r="U22" s="125">
        <f t="shared" ca="1" si="24"/>
        <v>0</v>
      </c>
      <c r="V22" s="126" t="s">
        <v>158</v>
      </c>
      <c r="W22" s="124">
        <f ca="1">IF($C22="S",ROUND(IF(TIPOORCAMENTO="Proposto",ORÇAMENTO.CustoUnitario*(1+$AH22),ORÇAMENTO.PrecoUnitarioLicitado),15-13*$AF$10),0)</f>
        <v>0</v>
      </c>
      <c r="X22" s="127">
        <f ca="1">IF($C22="S",VTOTAL1,IF($C22=0,0,ROUND(SomaAgrup,15-13*$AF$11)))</f>
        <v>0</v>
      </c>
      <c r="Y22" s="128" t="s">
        <v>247</v>
      </c>
      <c r="Z22" t="str">
        <f t="shared" ca="1" si="35"/>
        <v/>
      </c>
      <c r="AA22" s="129">
        <f ca="1">IF($C22="S",IF($Z22="CP",$X22,IF($Z22="RA",(($X22)*QCI!$AA$3),0)),SomaAgrup)</f>
        <v>0</v>
      </c>
      <c r="AB22" s="130">
        <f ca="1">IF($C22="S",IF($Z22="OU",ROUND($X22,2),0),SomaAgrup)</f>
        <v>0</v>
      </c>
      <c r="AC22" s="131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 t="str">
        <f ca="1">IF(C22&lt;=CRONO.NivelExibicao,MAX($AD$15:OFFSET(AD22,-1,0))+IF($C22&lt;&gt;1,1,MAX(1,COUNTIF(QCI!$A$13:$A$15,OFFSET($E22,-1,0)))),"")</f>
        <v/>
      </c>
      <c r="AE22" s="7" t="str">
        <f ca="1">IF(AND($C22="S",ORÇAMENTO.CodBarra&lt;&gt;""),IF(ORÇAMENTO.Fonte="",ORÇAMENTO.CodBarra,CONCATENATE(ORÇAMENTO.Fonte," ",ORÇAMENTO.CodBarra)))</f>
        <v>SINAPI 100576</v>
      </c>
      <c r="AF22" s="13" t="str">
        <f ca="1">IF(ISERROR(INDIRECT(ORÇAMENTO.BancoRef)),"(abra o arquivo 'Referência "&amp;Excel_BuiltIn_Database&amp;".xls)",IF(OR($C22&lt;&gt;"S",ORÇAMENTO.CodBarra=""),"(Sem Código)",IF(ISERROR(MATCH($AE22,INDIRECT(ORÇAMENTO.BancoRef),0)),"(Código não identificado nas referências)",MATCH($AE22,INDIRECT(ORÇAMENTO.BancoRef),0))))</f>
        <v>(abra o arquivo 'Referência 04-2024.xls)</v>
      </c>
      <c r="AG22" s="498">
        <f ca="1">ROUND(IF(DESONERACAO="sim",REFERENCIA.Desonerado,REFERENCIA.NaoDesonerado),2)</f>
        <v>0</v>
      </c>
      <c r="AH22" s="499">
        <f ca="1">ROUND(IF(ISNUMBER(ORÇAMENTO.OpcaoBDI),ORÇAMENTO.OpcaoBDI,IF(LEFT(ORÇAMENTO.OpcaoBDI,3)="BDI",HLOOKUP(ORÇAMENTO.OpcaoBDI,$F$4:$H$5,2,FALSE),0)),15-11*$AF$9)</f>
        <v>0.22869999999999999</v>
      </c>
      <c r="AJ22" s="501">
        <v>2739.38</v>
      </c>
      <c r="AL22" s="527"/>
      <c r="AM22" s="380">
        <f t="shared" ca="1" si="0"/>
        <v>0</v>
      </c>
      <c r="AN22" s="566">
        <f ca="1">ROUND(ORÇAMENTO.CustoUnitario*(1+$AH22),2)</f>
        <v>0</v>
      </c>
    </row>
    <row r="23" spans="1:40" x14ac:dyDescent="0.2">
      <c r="A23">
        <f t="shared" si="1"/>
        <v>2</v>
      </c>
      <c r="B23">
        <f t="shared" ca="1" si="2"/>
        <v>2</v>
      </c>
      <c r="C23">
        <f t="shared" ca="1" si="3"/>
        <v>2</v>
      </c>
      <c r="D23">
        <f t="shared" ca="1" si="4"/>
        <v>6</v>
      </c>
      <c r="E23">
        <f ca="1">IF($C23=1,OFFSET(E23,-1,0)+MAX(1,COUNTIF(QCI!$A$13:$A$15,OFFSET(ORÇAMENTO!E23,-1,0))),OFFSET(E23,-1,0))</f>
        <v>1</v>
      </c>
      <c r="F23">
        <f t="shared" ca="1" si="5"/>
        <v>4</v>
      </c>
      <c r="G23">
        <f t="shared" ca="1" si="6"/>
        <v>0</v>
      </c>
      <c r="H23">
        <f t="shared" ca="1" si="7"/>
        <v>0</v>
      </c>
      <c r="I23">
        <f t="shared" ca="1" si="8"/>
        <v>0</v>
      </c>
      <c r="J23">
        <f t="shared" ca="1" si="9"/>
        <v>9</v>
      </c>
      <c r="K23">
        <f ca="1">IF(OR($C23="S",$C23=0),0,MATCH(OFFSET($D23,0,$C23)+IF($C23&lt;&gt;1,1,COUNTIF(QCI!$A$13:$A$15,ORÇAMENTO!E23)),OFFSET($D23,1,$C23,ROW($C$32)-ROW($C23)),0))</f>
        <v>6</v>
      </c>
      <c r="L23" s="116" t="str">
        <f t="shared" ca="1" si="10"/>
        <v>F</v>
      </c>
      <c r="M23" s="117" t="s">
        <v>198</v>
      </c>
      <c r="N23" s="118" t="str">
        <f t="shared" ca="1" si="11"/>
        <v>Nível 2</v>
      </c>
      <c r="O23" s="119" t="str">
        <f t="shared" ca="1" si="12"/>
        <v>1.4.</v>
      </c>
      <c r="P23" s="120" t="s">
        <v>249</v>
      </c>
      <c r="Q23" s="121"/>
      <c r="R23" s="122" t="s">
        <v>444</v>
      </c>
      <c r="S23" s="123" t="s">
        <v>168</v>
      </c>
      <c r="T23" s="124">
        <f ca="1">OFFSET(CÁLCULO!H$15,ROW($T23)-ROW(T$15),0)</f>
        <v>0</v>
      </c>
      <c r="U23" s="125">
        <f t="shared" ca="1" si="24"/>
        <v>0</v>
      </c>
      <c r="V23" s="126" t="s">
        <v>158</v>
      </c>
      <c r="W23" s="124">
        <f t="shared" ca="1" si="13"/>
        <v>0</v>
      </c>
      <c r="X23" s="127">
        <f t="shared" ca="1" si="14"/>
        <v>0</v>
      </c>
      <c r="Y23" s="128" t="s">
        <v>247</v>
      </c>
      <c r="Z23" t="str">
        <f t="shared" ca="1" si="15"/>
        <v/>
      </c>
      <c r="AA23" s="129">
        <f ca="1">IF($C23="S",IF($Z23="CP",$X23,IF($Z23="RA",(($X23)*QCI!$AA$3),0)),SomaAgrup)</f>
        <v>0</v>
      </c>
      <c r="AB23" s="130">
        <f t="shared" ca="1" si="16"/>
        <v>0</v>
      </c>
      <c r="AC23" s="131" t="str">
        <f t="shared" ca="1" si="17"/>
        <v/>
      </c>
      <c r="AD23">
        <f ca="1">IF(C23&lt;=CRONO.NivelExibicao,MAX($AD$15:OFFSET(AD23,-1,0))+IF($C23&lt;&gt;1,1,MAX(1,COUNTIF(QCI!$A$13:$A$15,OFFSET($E23,-1,0)))),"")</f>
        <v>5</v>
      </c>
      <c r="AE23" s="7" t="b">
        <f t="shared" ca="1" si="18"/>
        <v>0</v>
      </c>
      <c r="AF23" s="13" t="str">
        <f t="shared" ca="1" si="19"/>
        <v>(abra o arquivo 'Referência 04-2024.xls)</v>
      </c>
      <c r="AG23" s="498">
        <f t="shared" ca="1" si="20"/>
        <v>0</v>
      </c>
      <c r="AH23" s="499">
        <f t="shared" ca="1" si="21"/>
        <v>0.22869999999999999</v>
      </c>
      <c r="AJ23" s="501"/>
      <c r="AL23" s="527"/>
      <c r="AM23" s="380">
        <f t="shared" ca="1" si="0"/>
        <v>0</v>
      </c>
      <c r="AN23" s="566">
        <f t="shared" ca="1" si="22"/>
        <v>0</v>
      </c>
    </row>
    <row r="24" spans="1:40" x14ac:dyDescent="0.2">
      <c r="A24">
        <f>CHOOSE(1+LOG(1+2*(ORÇAMENTO.Nivel="Meta")+4*(ORÇAMENTO.Nivel="Nível 2")+8*(ORÇAMENTO.Nivel="Nível 3")+16*(ORÇAMENTO.Nivel="Nível 4")+32*(ORÇAMENTO.Nivel="Serviço"),2),0,1,2,3,4,"S")</f>
        <v>4</v>
      </c>
      <c r="B24">
        <f ca="1">IF(OR(C24="s",C24=0),OFFSET(B24,-1,0),C24)</f>
        <v>3</v>
      </c>
      <c r="C24">
        <f ca="1">IF(OFFSET(C24,-1,0)="L",1,IF(OFFSET(C24,-1,0)=1,2,IF(OR(A24="s",A24=0),"S",IF(AND(OFFSET(C24,-1,0)=2,A24=4),3,IF(AND(OR(OFFSET(C24,-1,0)="s",OFFSET(C24,-1,0)=0),A24&lt;&gt;"s",A24&gt;OFFSET(B24,-1,0)),OFFSET(B24,-1,0),A24)))))</f>
        <v>3</v>
      </c>
      <c r="D24">
        <f ca="1">IF(OR(C24="S",C24=0),0,IF(ISERROR(K24),J24,SMALL(J24:K24,1)))</f>
        <v>5</v>
      </c>
      <c r="E24">
        <f ca="1">IF($C24=1,OFFSET(E24,-1,0)+MAX(1,COUNTIF(QCI!$A$13:$A$15,OFFSET(ORÇAMENTO!E24,-1,0))),OFFSET(E24,-1,0))</f>
        <v>1</v>
      </c>
      <c r="F24">
        <f ca="1">IF($C24=1,0,IF($C24=2,OFFSET(F24,-1,0)+1,OFFSET(F24,-1,0)))</f>
        <v>4</v>
      </c>
      <c r="G24">
        <f ca="1">IF(AND($C24&lt;=2,$C24&lt;&gt;0),0,IF($C24=3,OFFSET(G24,-1,0)+1,OFFSET(G24,-1,0)))</f>
        <v>1</v>
      </c>
      <c r="H24">
        <f ca="1">IF(AND($C24&lt;=3,$C24&lt;&gt;0),0,IF($C24=4,OFFSET(H24,-1,0)+1,OFFSET(H24,-1,0)))</f>
        <v>0</v>
      </c>
      <c r="I24">
        <f ca="1">IF(AND($C24&lt;=4,$C24&lt;&gt;0),0,IF(AND($C24="S",$X24&gt;0),OFFSET(I24,-1,0)+1,OFFSET(I24,-1,0)))</f>
        <v>0</v>
      </c>
      <c r="J24">
        <f t="shared" ca="1" si="9"/>
        <v>5</v>
      </c>
      <c r="K24" t="e">
        <f ca="1">IF(OR($C24="S",$C24=0),0,MATCH(OFFSET($D24,0,$C24)+IF($C24&lt;&gt;1,1,COUNTIF(QCI!$A$13:$A$15,ORÇAMENTO!E24)),OFFSET($D24,1,$C24,ROW($C$32)-ROW($C24)),0))</f>
        <v>#N/A</v>
      </c>
      <c r="L24" s="116" t="str">
        <f ca="1">IF(OR($X24&gt;0,$C24=1,$C24=2,$C24=3,$C24=4),"F","")</f>
        <v>F</v>
      </c>
      <c r="M24" s="117" t="s">
        <v>200</v>
      </c>
      <c r="N24" s="118" t="str">
        <f ca="1">CHOOSE(1+LOG(1+2*(C24=1)+4*(C24=2)+8*(C24=3)+16*(C24=4)+32*(C24="S"),2),"","Meta","Nível 2","Nível 3","Nível 4","Serviço")</f>
        <v>Nível 3</v>
      </c>
      <c r="O24" s="119" t="str">
        <f ca="1">IF(OR($C24=0,$L24=""),"-",CONCATENATE(E24&amp;".",IF(AND($A$5&gt;=2,$C24&gt;=2),F24&amp;".",""),IF(AND($A$5&gt;=3,$C24&gt;=3),G24&amp;".",""),IF(AND($A$5&gt;=4,$C24&gt;=4),H24&amp;".",""),IF($C24="S",I24&amp;".","")))</f>
        <v>1.4.1.</v>
      </c>
      <c r="P24" s="120" t="s">
        <v>249</v>
      </c>
      <c r="Q24" s="121"/>
      <c r="R24" s="122" t="s">
        <v>480</v>
      </c>
      <c r="S24" s="123" t="str">
        <f ca="1">REFERENCIA.Unidade</f>
        <v>-</v>
      </c>
      <c r="T24" s="124">
        <f ca="1">OFFSET(CÁLCULO!H$15,ROW($T24)-ROW(T$15),0)</f>
        <v>0</v>
      </c>
      <c r="U24" s="125"/>
      <c r="V24" s="126" t="s">
        <v>158</v>
      </c>
      <c r="W24" s="124">
        <f ca="1">IF($C24="S",ROUND(IF(TIPOORCAMENTO="Proposto",ORÇAMENTO.CustoUnitario*(1+$AH24),ORÇAMENTO.PrecoUnitarioLicitado),15-13*$AF$10),0)</f>
        <v>0</v>
      </c>
      <c r="X24" s="127">
        <f ca="1">IF($C24="S",VTOTAL1,IF($C24=0,0,ROUND(SomaAgrup,15-13*$AF$11)))</f>
        <v>0</v>
      </c>
      <c r="Y24" s="128" t="s">
        <v>247</v>
      </c>
      <c r="Z24" t="str">
        <f ca="1">IF(AND($C24="S",$X24&gt;0),IF(ISBLANK($Y24),"RA",LEFT($Y24,2)),"")</f>
        <v/>
      </c>
      <c r="AA24" s="129">
        <f ca="1">IF($C24="S",IF($Z24="CP",$X24,IF($Z24="RA",(($X24)*QCI!$AA$3),0)),SomaAgrup)</f>
        <v>0</v>
      </c>
      <c r="AB24" s="130">
        <f ca="1">IF($C24="S",IF($Z24="OU",ROUND($X24,2),0),SomaAgrup)</f>
        <v>0</v>
      </c>
      <c r="AC24" s="131" t="str">
        <f ca="1">IF($N24="","",IF(ORÇAMENTO.Descricao="","DESCRIÇÃO",IF(AND($C24="S",ORÇAMENTO.Unidade=""),"UNIDADE",IF($X24&lt;0,"VALOR NEGATIVO",IF(OR(AND(TIPOORCAMENTO="Proposto",$AG24&lt;&gt;"",$AG24&gt;0,ORÇAMENTO.CustoUnitario&gt;$AG24),AND(TIPOORCAMENTO="LICITADO",ORÇAMENTO.PrecoUnitarioLicitado&gt;$AN24)),"ACIMA REF.","")))))</f>
        <v/>
      </c>
      <c r="AD24" t="str">
        <f ca="1">IF(C24&lt;=CRONO.NivelExibicao,MAX($AD$15:OFFSET(AD24,-1,0))+IF($C24&lt;&gt;1,1,MAX(1,COUNTIF(QCI!$A$13:$A$15,OFFSET($E24,-1,0)))),"")</f>
        <v/>
      </c>
      <c r="AE24" s="7" t="b">
        <f ca="1">IF(AND($C24="S",ORÇAMENTO.CodBarra&lt;&gt;""),IF(ORÇAMENTO.Fonte="",ORÇAMENTO.CodBarra,CONCATENATE(ORÇAMENTO.Fonte," ",ORÇAMENTO.CodBarra)))</f>
        <v>0</v>
      </c>
      <c r="AF24" s="13" t="str">
        <f ca="1">IF(ISERROR(INDIRECT(ORÇAMENTO.BancoRef)),"(abra o arquivo 'Referência "&amp;Excel_BuiltIn_Database&amp;".xls)",IF(OR($C24&lt;&gt;"S",ORÇAMENTO.CodBarra=""),"(Sem Código)",IF(ISERROR(MATCH($AE24,INDIRECT(ORÇAMENTO.BancoRef),0)),"(Código não identificado nas referências)",MATCH($AE24,INDIRECT(ORÇAMENTO.BancoRef),0))))</f>
        <v>(abra o arquivo 'Referência 04-2024.xls)</v>
      </c>
      <c r="AG24" s="498">
        <f ca="1">ROUND(IF(DESONERACAO="sim",REFERENCIA.Desonerado,REFERENCIA.NaoDesonerado),2)</f>
        <v>0</v>
      </c>
      <c r="AH24" s="499">
        <f ca="1">ROUND(IF(ISNUMBER(ORÇAMENTO.OpcaoBDI),ORÇAMENTO.OpcaoBDI,IF(LEFT(ORÇAMENTO.OpcaoBDI,3)="BDI",HLOOKUP(ORÇAMENTO.OpcaoBDI,$F$4:$H$5,2,FALSE),0)),15-11*$AF$9)</f>
        <v>0.22869999999999999</v>
      </c>
      <c r="AJ24" s="501"/>
      <c r="AL24" s="527"/>
      <c r="AM24" s="380">
        <f t="shared" ca="1" si="0"/>
        <v>0</v>
      </c>
      <c r="AN24" s="566">
        <f ca="1">ROUND(ORÇAMENTO.CustoUnitario*(1+$AH24),2)</f>
        <v>0</v>
      </c>
    </row>
    <row r="25" spans="1:40" ht="25.5" x14ac:dyDescent="0.2">
      <c r="A25" t="str">
        <f>CHOOSE(1+LOG(1+2*(ORÇAMENTO.Nivel="Meta")+4*(ORÇAMENTO.Nivel="Nível 2")+8*(ORÇAMENTO.Nivel="Nível 3")+16*(ORÇAMENTO.Nivel="Nível 4")+32*(ORÇAMENTO.Nivel="Serviço"),2),0,1,2,3,4,"S")</f>
        <v>S</v>
      </c>
      <c r="B25">
        <f ca="1">IF(OR(C25="s",C25=0),OFFSET(B25,-1,0),C25)</f>
        <v>3</v>
      </c>
      <c r="C25" t="str">
        <f ca="1">IF(OFFSET(C25,-1,0)="L",1,IF(OFFSET(C25,-1,0)=1,2,IF(OR(A25="s",A25=0),"S",IF(AND(OFFSET(C25,-1,0)=2,A25=4),3,IF(AND(OR(OFFSET(C25,-1,0)="s",OFFSET(C25,-1,0)=0),A25&lt;&gt;"s",A25&gt;OFFSET(B25,-1,0)),OFFSET(B25,-1,0),A25)))))</f>
        <v>S</v>
      </c>
      <c r="D25">
        <f ca="1">IF(OR(C25="S",C25=0),0,IF(ISERROR(K25),J25,SMALL(J25:K25,1)))</f>
        <v>0</v>
      </c>
      <c r="E25">
        <f ca="1">IF($C25=1,OFFSET(E25,-1,0)+MAX(1,COUNTIF(QCI!$A$13:$A$15,OFFSET(ORÇAMENTO!E25,-1,0))),OFFSET(E25,-1,0))</f>
        <v>1</v>
      </c>
      <c r="F25">
        <f ca="1">IF($C25=1,0,IF($C25=2,OFFSET(F25,-1,0)+1,OFFSET(F25,-1,0)))</f>
        <v>4</v>
      </c>
      <c r="G25">
        <f ca="1">IF(AND($C25&lt;=2,$C25&lt;&gt;0),0,IF($C25=3,OFFSET(G25,-1,0)+1,OFFSET(G25,-1,0)))</f>
        <v>1</v>
      </c>
      <c r="H25">
        <f ca="1">IF(AND($C25&lt;=3,$C25&lt;&gt;0),0,IF($C25=4,OFFSET(H25,-1,0)+1,OFFSET(H25,-1,0)))</f>
        <v>0</v>
      </c>
      <c r="I25">
        <f ca="1">IF(AND($C25&lt;=4,$C25&lt;&gt;0),0,IF(AND($C25="S",$X25&gt;0),OFFSET(I25,-1,0)+1,OFFSET(I25,-1,0)))</f>
        <v>0</v>
      </c>
      <c r="J25">
        <f t="shared" ca="1" si="9"/>
        <v>0</v>
      </c>
      <c r="K25">
        <f ca="1">IF(OR($C25="S",$C25=0),0,MATCH(OFFSET($D25,0,$C25)+IF($C25&lt;&gt;1,1,COUNTIF(QCI!$A$13:$A$15,ORÇAMENTO!E25)),OFFSET($D25,1,$C25,ROW($C$32)-ROW($C25)),0))</f>
        <v>0</v>
      </c>
      <c r="L25" s="116" t="str">
        <f ca="1">IF(OR($X25&gt;0,$C25=1,$C25=2,$C25=3,$C25=4),"F","")</f>
        <v/>
      </c>
      <c r="M25" s="117" t="s">
        <v>201</v>
      </c>
      <c r="N25" s="118" t="str">
        <f ca="1">CHOOSE(1+LOG(1+2*(C25=1)+4*(C25=2)+8*(C25=3)+16*(C25=4)+32*(C25="S"),2),"","Meta","Nível 2","Nível 3","Nível 4","Serviço")</f>
        <v>Serviço</v>
      </c>
      <c r="O25" s="119" t="str">
        <f ca="1">IF(OR($C25=0,$L25=""),"-",CONCATENATE(E25&amp;".",IF(AND($A$5&gt;=2,$C25&gt;=2),F25&amp;".",""),IF(AND($A$5&gt;=3,$C25&gt;=3),G25&amp;".",""),IF(AND($A$5&gt;=4,$C25&gt;=4),H25&amp;".",""),IF($C25="S",I25&amp;".","")))</f>
        <v>-</v>
      </c>
      <c r="P25" s="120" t="s">
        <v>249</v>
      </c>
      <c r="Q25" s="121" t="s">
        <v>481</v>
      </c>
      <c r="R25" s="122" t="str">
        <f ca="1">IF($C25="S",REFERENCIA.Descricao,"(digite a descrição aqui)")</f>
        <v>(abra o arquivo 'Referência 04-2024.xls)</v>
      </c>
      <c r="S25" s="123" t="str">
        <f ca="1">REFERENCIA.Unidade</f>
        <v>-</v>
      </c>
      <c r="T25" s="124">
        <f ca="1">OFFSET(CÁLCULO!H$15,ROW($T25)-ROW(T$15),0)</f>
        <v>310</v>
      </c>
      <c r="U25" s="125">
        <f ca="1">AG25</f>
        <v>0</v>
      </c>
      <c r="V25" s="126" t="s">
        <v>158</v>
      </c>
      <c r="W25" s="124">
        <f ca="1">IF($C25="S",ROUND(IF(TIPOORCAMENTO="Proposto",ORÇAMENTO.CustoUnitario*(1+$AH25),ORÇAMENTO.PrecoUnitarioLicitado),15-13*$AF$10),0)</f>
        <v>0</v>
      </c>
      <c r="X25" s="127">
        <f ca="1">IF($C25="S",VTOTAL1,IF($C25=0,0,ROUND(SomaAgrup,15-13*$AF$11)))</f>
        <v>0</v>
      </c>
      <c r="Y25" s="128" t="s">
        <v>247</v>
      </c>
      <c r="Z25" t="str">
        <f ca="1">IF(AND($C25="S",$X25&gt;0),IF(ISBLANK($Y25),"RA",LEFT($Y25,2)),"")</f>
        <v/>
      </c>
      <c r="AA25" s="129">
        <f ca="1">IF($C25="S",IF($Z25="CP",$X25,IF($Z25="RA",(($X25)*QCI!$AA$3),0)),SomaAgrup)</f>
        <v>0</v>
      </c>
      <c r="AB25" s="130">
        <f ca="1">IF($C25="S",IF($Z25="OU",ROUND($X25,2),0),SomaAgrup)</f>
        <v>0</v>
      </c>
      <c r="AC25" s="131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t="str">
        <f ca="1">IF(C25&lt;=CRONO.NivelExibicao,MAX($AD$15:OFFSET(AD25,-1,0))+IF($C25&lt;&gt;1,1,MAX(1,COUNTIF(QCI!$A$13:$A$15,OFFSET($E25,-1,0)))),"")</f>
        <v/>
      </c>
      <c r="AE25" s="7" t="str">
        <f ca="1">IF(AND($C25="S",ORÇAMENTO.CodBarra&lt;&gt;""),IF(ORÇAMENTO.Fonte="",ORÇAMENTO.CodBarra,CONCATENATE(ORÇAMENTO.Fonte," ",ORÇAMENTO.CodBarra)))</f>
        <v>SINAPI 101167</v>
      </c>
      <c r="AF25" s="13" t="str">
        <f ca="1">IF(ISERROR(INDIRECT(ORÇAMENTO.BancoRef)),"(abra o arquivo 'Referência "&amp;Excel_BuiltIn_Database&amp;".xls)",IF(OR($C25&lt;&gt;"S",ORÇAMENTO.CodBarra=""),"(Sem Código)",IF(ISERROR(MATCH($AE25,INDIRECT(ORÇAMENTO.BancoRef),0)),"(Código não identificado nas referências)",MATCH($AE25,INDIRECT(ORÇAMENTO.BancoRef),0))))</f>
        <v>(abra o arquivo 'Referência 04-2024.xls)</v>
      </c>
      <c r="AG25" s="498">
        <f ca="1">ROUND(IF(DESONERACAO="sim",REFERENCIA.Desonerado,REFERENCIA.NaoDesonerado),2)</f>
        <v>0</v>
      </c>
      <c r="AH25" s="499">
        <f ca="1">ROUND(IF(ISNUMBER(ORÇAMENTO.OpcaoBDI),ORÇAMENTO.OpcaoBDI,IF(LEFT(ORÇAMENTO.OpcaoBDI,3)="BDI",HLOOKUP(ORÇAMENTO.OpcaoBDI,$F$4:$H$5,2,FALSE),0)),15-11*$AF$9)</f>
        <v>0.22869999999999999</v>
      </c>
      <c r="AJ25" s="501">
        <v>2679.38</v>
      </c>
      <c r="AL25" s="527"/>
      <c r="AM25" s="380">
        <f t="shared" ca="1" si="0"/>
        <v>0</v>
      </c>
      <c r="AN25" s="566">
        <f ca="1">ROUND(ORÇAMENTO.CustoUnitario*(1+$AH25),2)</f>
        <v>0</v>
      </c>
    </row>
    <row r="26" spans="1:40" ht="38.25" x14ac:dyDescent="0.2">
      <c r="A26" t="str">
        <f t="shared" si="1"/>
        <v>S</v>
      </c>
      <c r="B26">
        <f t="shared" ca="1" si="2"/>
        <v>3</v>
      </c>
      <c r="C26" t="str">
        <f t="shared" ca="1" si="3"/>
        <v>S</v>
      </c>
      <c r="D26">
        <f t="shared" ca="1" si="4"/>
        <v>0</v>
      </c>
      <c r="E26">
        <f ca="1">IF($C26=1,OFFSET(E26,-1,0)+MAX(1,COUNTIF(QCI!$A$13:$A$15,OFFSET(ORÇAMENTO!E26,-1,0))),OFFSET(E26,-1,0))</f>
        <v>1</v>
      </c>
      <c r="F26">
        <f t="shared" ca="1" si="5"/>
        <v>4</v>
      </c>
      <c r="G26">
        <f t="shared" ca="1" si="6"/>
        <v>1</v>
      </c>
      <c r="H26">
        <f t="shared" ca="1" si="7"/>
        <v>0</v>
      </c>
      <c r="I26">
        <f t="shared" ca="1" si="8"/>
        <v>0</v>
      </c>
      <c r="J26">
        <f t="shared" ca="1" si="9"/>
        <v>0</v>
      </c>
      <c r="K26">
        <f ca="1">IF(OR($C26="S",$C26=0),0,MATCH(OFFSET($D26,0,$C26)+IF($C26&lt;&gt;1,1,COUNTIF(QCI!$A$13:$A$15,ORÇAMENTO!E26)),OFFSET($D26,1,$C26,ROW($C$32)-ROW($C26)),0))</f>
        <v>0</v>
      </c>
      <c r="L26" s="116" t="str">
        <f t="shared" ca="1" si="10"/>
        <v/>
      </c>
      <c r="M26" s="117" t="s">
        <v>201</v>
      </c>
      <c r="N26" s="118" t="str">
        <f t="shared" ca="1" si="11"/>
        <v>Serviço</v>
      </c>
      <c r="O26" s="119" t="str">
        <f t="shared" ca="1" si="12"/>
        <v>-</v>
      </c>
      <c r="P26" s="120" t="s">
        <v>249</v>
      </c>
      <c r="Q26" s="121" t="s">
        <v>482</v>
      </c>
      <c r="R26" s="122" t="str">
        <f t="shared" ref="R26:R28" ca="1" si="36">IF($C26="S",REFERENCIA.Descricao,"(digite a descrição aqui)")</f>
        <v>(abra o arquivo 'Referência 04-2024.xls)</v>
      </c>
      <c r="S26" s="123" t="str">
        <f t="shared" ref="S26:S27" ca="1" si="37">REFERENCIA.Unidade</f>
        <v>-</v>
      </c>
      <c r="T26" s="124">
        <f ca="1">OFFSET(CÁLCULO!H$15,ROW($T26)-ROW(T$15),0)</f>
        <v>407.03</v>
      </c>
      <c r="U26" s="125">
        <f ca="1">AG26</f>
        <v>0</v>
      </c>
      <c r="V26" s="126" t="s">
        <v>158</v>
      </c>
      <c r="W26" s="124">
        <f t="shared" ca="1" si="13"/>
        <v>0</v>
      </c>
      <c r="X26" s="127">
        <f t="shared" ca="1" si="14"/>
        <v>0</v>
      </c>
      <c r="Y26" s="128" t="s">
        <v>247</v>
      </c>
      <c r="Z26" t="str">
        <f t="shared" ca="1" si="15"/>
        <v/>
      </c>
      <c r="AA26" s="129">
        <f ca="1">IF($C26="S",IF($Z26="CP",$X26,IF($Z26="RA",(($X26)*QCI!$AA$3),0)),SomaAgrup)</f>
        <v>0</v>
      </c>
      <c r="AB26" s="130">
        <f t="shared" ca="1" si="16"/>
        <v>0</v>
      </c>
      <c r="AC26" s="131" t="str">
        <f t="shared" ca="1" si="17"/>
        <v/>
      </c>
      <c r="AD26" t="str">
        <f ca="1">IF(C26&lt;=CRONO.NivelExibicao,MAX($AD$15:OFFSET(AD26,-1,0))+IF($C26&lt;&gt;1,1,MAX(1,COUNTIF(QCI!$A$13:$A$15,OFFSET($E26,-1,0)))),"")</f>
        <v/>
      </c>
      <c r="AE26" s="7" t="str">
        <f t="shared" ca="1" si="18"/>
        <v>SINAPI 97914</v>
      </c>
      <c r="AF26" s="13" t="str">
        <f t="shared" ca="1" si="19"/>
        <v>(abra o arquivo 'Referência 04-2024.xls)</v>
      </c>
      <c r="AG26" s="498">
        <f t="shared" ca="1" si="20"/>
        <v>0</v>
      </c>
      <c r="AH26" s="499">
        <f t="shared" ca="1" si="21"/>
        <v>0.22869999999999999</v>
      </c>
      <c r="AJ26" s="501">
        <v>194.522988</v>
      </c>
      <c r="AL26" s="527"/>
      <c r="AM26" s="380">
        <f t="shared" ca="1" si="0"/>
        <v>0</v>
      </c>
      <c r="AN26" s="566">
        <f t="shared" ca="1" si="22"/>
        <v>0</v>
      </c>
    </row>
    <row r="27" spans="1:40" ht="38.25" x14ac:dyDescent="0.2">
      <c r="A27" t="str">
        <f t="shared" si="1"/>
        <v>S</v>
      </c>
      <c r="B27">
        <f t="shared" ca="1" si="2"/>
        <v>3</v>
      </c>
      <c r="C27" t="str">
        <f t="shared" ca="1" si="3"/>
        <v>S</v>
      </c>
      <c r="D27">
        <f t="shared" ca="1" si="4"/>
        <v>0</v>
      </c>
      <c r="E27">
        <f ca="1">IF($C27=1,OFFSET(E27,-1,0)+MAX(1,COUNTIF(QCI!$A$13:$A$15,OFFSET(ORÇAMENTO!E27,-1,0))),OFFSET(E27,-1,0))</f>
        <v>1</v>
      </c>
      <c r="F27">
        <f t="shared" ca="1" si="5"/>
        <v>4</v>
      </c>
      <c r="G27">
        <f t="shared" ca="1" si="6"/>
        <v>1</v>
      </c>
      <c r="H27">
        <f t="shared" ca="1" si="7"/>
        <v>0</v>
      </c>
      <c r="I27">
        <f t="shared" ca="1" si="8"/>
        <v>0</v>
      </c>
      <c r="J27">
        <f t="shared" ca="1" si="9"/>
        <v>0</v>
      </c>
      <c r="K27">
        <f ca="1">IF(OR($C27="S",$C27=0),0,MATCH(OFFSET($D27,0,$C27)+IF($C27&lt;&gt;1,1,COUNTIF(QCI!$A$13:$A$15,ORÇAMENTO!E27)),OFFSET($D27,1,$C27,ROW($C$32)-ROW($C27)),0))</f>
        <v>0</v>
      </c>
      <c r="L27" s="116" t="str">
        <f t="shared" ca="1" si="10"/>
        <v/>
      </c>
      <c r="M27" s="117" t="s">
        <v>201</v>
      </c>
      <c r="N27" s="118" t="str">
        <f t="shared" ca="1" si="11"/>
        <v>Serviço</v>
      </c>
      <c r="O27" s="119" t="str">
        <f t="shared" ca="1" si="12"/>
        <v>-</v>
      </c>
      <c r="P27" s="120" t="s">
        <v>249</v>
      </c>
      <c r="Q27" s="121" t="s">
        <v>441</v>
      </c>
      <c r="R27" s="122" t="str">
        <f t="shared" ca="1" si="36"/>
        <v>(abra o arquivo 'Referência 04-2024.xls)</v>
      </c>
      <c r="S27" s="123" t="str">
        <f t="shared" ca="1" si="37"/>
        <v>-</v>
      </c>
      <c r="T27" s="124">
        <f ca="1">OFFSET(CÁLCULO!H$15,ROW($T27)-ROW(T$15),0)</f>
        <v>18</v>
      </c>
      <c r="U27" s="125">
        <f ca="1">AG27</f>
        <v>0</v>
      </c>
      <c r="V27" s="126" t="s">
        <v>158</v>
      </c>
      <c r="W27" s="124">
        <f t="shared" ca="1" si="13"/>
        <v>0</v>
      </c>
      <c r="X27" s="127">
        <f t="shared" ca="1" si="14"/>
        <v>0</v>
      </c>
      <c r="Y27" s="128" t="s">
        <v>247</v>
      </c>
      <c r="Z27" t="str">
        <f t="shared" ca="1" si="15"/>
        <v/>
      </c>
      <c r="AA27" s="129">
        <f ca="1">IF($C27="S",IF($Z27="CP",$X27,IF($Z27="RA",(($X27)*QCI!$AA$3),0)),SomaAgrup)</f>
        <v>0</v>
      </c>
      <c r="AB27" s="130">
        <f t="shared" ca="1" si="16"/>
        <v>0</v>
      </c>
      <c r="AC27" s="131" t="str">
        <f t="shared" ca="1" si="17"/>
        <v/>
      </c>
      <c r="AD27" t="str">
        <f ca="1">IF(C27&lt;=CRONO.NivelExibicao,MAX($AD$15:OFFSET(AD27,-1,0))+IF($C27&lt;&gt;1,1,MAX(1,COUNTIF(QCI!$A$13:$A$15,OFFSET($E27,-1,0)))),"")</f>
        <v/>
      </c>
      <c r="AE27" s="7" t="str">
        <f t="shared" ca="1" si="18"/>
        <v>SINAPI 95875</v>
      </c>
      <c r="AF27" s="13" t="str">
        <f t="shared" ca="1" si="19"/>
        <v>(abra o arquivo 'Referência 04-2024.xls)</v>
      </c>
      <c r="AG27" s="498">
        <f t="shared" ca="1" si="20"/>
        <v>0</v>
      </c>
      <c r="AH27" s="499">
        <f t="shared" ca="1" si="21"/>
        <v>0.22869999999999999</v>
      </c>
      <c r="AJ27" s="501">
        <v>97.261493999999999</v>
      </c>
      <c r="AL27" s="527"/>
      <c r="AM27" s="380">
        <f t="shared" ca="1" si="0"/>
        <v>0</v>
      </c>
      <c r="AN27" s="566">
        <f t="shared" ca="1" si="22"/>
        <v>0</v>
      </c>
    </row>
    <row r="28" spans="1:40" s="577" customFormat="1" ht="38.25" x14ac:dyDescent="0.2">
      <c r="A28" s="577" t="str">
        <f>CHOOSE(1+LOG(1+2*(ORÇAMENTO.Nivel="Meta")+4*(ORÇAMENTO.Nivel="Nível 2")+8*(ORÇAMENTO.Nivel="Nível 3")+16*(ORÇAMENTO.Nivel="Nível 4")+32*(ORÇAMENTO.Nivel="Serviço"),2),0,1,2,3,4,"S")</f>
        <v>S</v>
      </c>
      <c r="B28" s="577">
        <f ca="1">IF(OR(C28="s",C28=0),OFFSET(B28,-1,0),C28)</f>
        <v>3</v>
      </c>
      <c r="C28" s="577" t="str">
        <f ca="1">IF(OFFSET(C28,-1,0)="L",1,IF(OFFSET(C28,-1,0)=1,2,IF(OR(A28="s",A28=0),"S",IF(AND(OFFSET(C28,-1,0)=2,A28=4),3,IF(AND(OR(OFFSET(C28,-1,0)="s",OFFSET(C28,-1,0)=0),A28&lt;&gt;"s",A28&gt;OFFSET(B28,-1,0)),OFFSET(B28,-1,0),A28)))))</f>
        <v>S</v>
      </c>
      <c r="D28" s="577">
        <f ca="1">IF(OR(C28="S",C28=0),0,IF(ISERROR(K28),J28,SMALL(J28:K28,1)))</f>
        <v>0</v>
      </c>
      <c r="E28" s="577">
        <f ca="1">IF($C28=1,OFFSET(E28,-1,0)+MAX(1,COUNTIF(QCI!$A$13:$A$15,OFFSET(ORÇAMENTO!E28,-1,0))),OFFSET(E28,-1,0))</f>
        <v>1</v>
      </c>
      <c r="F28" s="577">
        <f ca="1">IF($C28=1,0,IF($C28=2,OFFSET(F28,-1,0)+1,OFFSET(F28,-1,0)))</f>
        <v>4</v>
      </c>
      <c r="G28" s="577">
        <f ca="1">IF(AND($C28&lt;=2,$C28&lt;&gt;0),0,IF($C28=3,OFFSET(G28,-1,0)+1,OFFSET(G28,-1,0)))</f>
        <v>1</v>
      </c>
      <c r="H28" s="577">
        <f ca="1">IF(AND($C28&lt;=3,$C28&lt;&gt;0),0,IF($C28=4,OFFSET(H28,-1,0)+1,OFFSET(H28,-1,0)))</f>
        <v>0</v>
      </c>
      <c r="I28" s="577">
        <f ca="1">IF(AND($C28&lt;=4,$C28&lt;&gt;0),0,IF(AND($C28="S",$X28&gt;0),OFFSET(I28,-1,0)+1,OFFSET(I28,-1,0)))</f>
        <v>0</v>
      </c>
      <c r="J28" s="577">
        <f t="shared" ca="1" si="9"/>
        <v>0</v>
      </c>
      <c r="K28" s="577">
        <f ca="1">IF(OR($C28="S",$C28=0),0,MATCH(OFFSET($D28,0,$C28)+IF($C28&lt;&gt;1,1,COUNTIF(QCI!$A$13:$A$15,ORÇAMENTO!E28)),OFFSET($D28,1,$C28,ROW($C$32)-ROW($C28)),0))</f>
        <v>0</v>
      </c>
      <c r="L28" s="116" t="str">
        <f ca="1">IF(OR($X28&gt;0,$C28=1,$C28=2,$C28=3,$C28=4),"F","")</f>
        <v/>
      </c>
      <c r="M28" s="117" t="s">
        <v>201</v>
      </c>
      <c r="N28" s="118" t="str">
        <f ca="1">CHOOSE(1+LOG(1+2*(C28=1)+4*(C28=2)+8*(C28=3)+16*(C28=4)+32*(C28="S"),2),"","Meta","Nível 2","Nível 3","Nível 4","Serviço")</f>
        <v>Serviço</v>
      </c>
      <c r="O28" s="119" t="str">
        <f ca="1">IF(OR($C28=0,$L28=""),"-",CONCATENATE(E28&amp;".",IF(AND($A$5&gt;=2,$C28&gt;=2),F28&amp;".",""),IF(AND($A$5&gt;=3,$C28&gt;=3),G28&amp;".",""),IF(AND($A$5&gt;=4,$C28&gt;=4),H28&amp;".",""),IF($C28="S",I28&amp;".","")))</f>
        <v>-</v>
      </c>
      <c r="P28" s="120" t="s">
        <v>249</v>
      </c>
      <c r="Q28" s="121" t="s">
        <v>442</v>
      </c>
      <c r="R28" s="122" t="str">
        <f t="shared" ca="1" si="36"/>
        <v>(abra o arquivo 'Referência 04-2024.xls)</v>
      </c>
      <c r="S28" s="123" t="str">
        <f ca="1">REFERENCIA.Unidade</f>
        <v>-</v>
      </c>
      <c r="T28" s="124">
        <f ca="1">OFFSET(CÁLCULO!H$15,ROW($T28)-ROW(T$15),0)</f>
        <v>11.82</v>
      </c>
      <c r="U28" s="125">
        <f ca="1">AG28</f>
        <v>0</v>
      </c>
      <c r="V28" s="126" t="s">
        <v>158</v>
      </c>
      <c r="W28" s="124">
        <f ca="1">IF($C28="S",ROUND(IF(TIPOORCAMENTO="Proposto",ORÇAMENTO.CustoUnitario*(1+$AH28),ORÇAMENTO.PrecoUnitarioLicitado),15-13*$AF$10),0)</f>
        <v>0</v>
      </c>
      <c r="X28" s="127">
        <f ca="1">IF($C28="S",VTOTAL1,IF($C28=0,0,ROUND(SomaAgrup,15-13*$AF$11)))</f>
        <v>0</v>
      </c>
      <c r="Y28" s="128" t="s">
        <v>247</v>
      </c>
      <c r="Z28" s="577" t="str">
        <f ca="1">IF(AND($C28="S",$X28&gt;0),IF(ISBLANK($Y28),"RA",LEFT($Y28,2)),"")</f>
        <v/>
      </c>
      <c r="AA28" s="129">
        <f ca="1">IF($C28="S",IF($Z28="CP",$X28,IF($Z28="RA",(($X28)*QCI!$AA$3),0)),SomaAgrup)</f>
        <v>0</v>
      </c>
      <c r="AB28" s="130">
        <f ca="1">IF($C28="S",IF($Z28="OU",ROUND($X28,2),0),SomaAgrup)</f>
        <v>0</v>
      </c>
      <c r="AC28" s="131" t="str">
        <f ca="1">IF($N28="","",IF(ORÇAMENTO.Descricao="","DESCRIÇÃO",IF(AND($C28="S",ORÇAMENTO.Unidade=""),"UNIDADE",IF($X28&lt;0,"VALOR NEGATIVO",IF(OR(AND(TIPOORCAMENTO="Proposto",$AG28&lt;&gt;"",$AG28&gt;0,ORÇAMENTO.CustoUnitario&gt;$AG28),AND(TIPOORCAMENTO="LICITADO",ORÇAMENTO.PrecoUnitarioLicitado&gt;$AN28)),"ACIMA REF.","")))))</f>
        <v/>
      </c>
      <c r="AD28" s="577" t="str">
        <f ca="1">IF(C28&lt;=CRONO.NivelExibicao,MAX($AD$15:OFFSET(AD28,-1,0))+IF($C28&lt;&gt;1,1,MAX(1,COUNTIF(QCI!$A$13:$A$15,OFFSET($E28,-1,0)))),"")</f>
        <v/>
      </c>
      <c r="AE28" s="7" t="str">
        <f ca="1">IF(AND($C28="S",ORÇAMENTO.CodBarra&lt;&gt;""),IF(ORÇAMENTO.Fonte="",ORÇAMENTO.CodBarra,CONCATENATE(ORÇAMENTO.Fonte," ",ORÇAMENTO.CodBarra)))</f>
        <v>SINAPI 93590</v>
      </c>
      <c r="AF28" s="576" t="str">
        <f ca="1">IF(ISERROR(INDIRECT(ORÇAMENTO.BancoRef)),"(abra o arquivo 'Referência "&amp;Excel_BuiltIn_Database&amp;".xls)",IF(OR($C28&lt;&gt;"S",ORÇAMENTO.CodBarra=""),"(Sem Código)",IF(ISERROR(MATCH($AE28,INDIRECT(ORÇAMENTO.BancoRef),0)),"(Código não identificado nas referências)",MATCH($AE28,INDIRECT(ORÇAMENTO.BancoRef),0))))</f>
        <v>(abra o arquivo 'Referência 04-2024.xls)</v>
      </c>
      <c r="AG28" s="498">
        <f ca="1">ROUND(IF(DESONERACAO="sim",REFERENCIA.Desonerado,REFERENCIA.NaoDesonerado),2)</f>
        <v>0</v>
      </c>
      <c r="AH28" s="499">
        <f ca="1">ROUND(IF(ISNUMBER(ORÇAMENTO.OpcaoBDI),ORÇAMENTO.OpcaoBDI,IF(LEFT(ORÇAMENTO.OpcaoBDI,3)="BDI",HLOOKUP(ORÇAMENTO.OpcaoBDI,$F$4:$H$5,2,FALSE),0)),15-11*$AF$9)</f>
        <v>0.22869999999999999</v>
      </c>
      <c r="AJ28" s="501"/>
      <c r="AL28" s="527"/>
      <c r="AM28" s="380">
        <f t="shared" ca="1" si="0"/>
        <v>0</v>
      </c>
      <c r="AN28" s="566">
        <f ca="1">ROUND(ORÇAMENTO.CustoUnitario*(1+$AH28),2)</f>
        <v>0</v>
      </c>
    </row>
    <row r="29" spans="1:40" x14ac:dyDescent="0.2">
      <c r="A29">
        <f t="shared" ref="A29:A30" si="38">CHOOSE(1+LOG(1+2*(ORÇAMENTO.Nivel="Meta")+4*(ORÇAMENTO.Nivel="Nível 2")+8*(ORÇAMENTO.Nivel="Nível 3")+16*(ORÇAMENTO.Nivel="Nível 4")+32*(ORÇAMENTO.Nivel="Serviço"),2),0,1,2,3,4,"S")</f>
        <v>2</v>
      </c>
      <c r="B29">
        <f t="shared" ref="B29:B30" ca="1" si="39">IF(OR(C29="s",C29=0),OFFSET(B29,-1,0),C29)</f>
        <v>2</v>
      </c>
      <c r="C29">
        <f t="shared" ref="C29:C30" ca="1" si="40">IF(OFFSET(C29,-1,0)="L",1,IF(OFFSET(C29,-1,0)=1,2,IF(OR(A29="s",A29=0),"S",IF(AND(OFFSET(C29,-1,0)=2,A29=4),3,IF(AND(OR(OFFSET(C29,-1,0)="s",OFFSET(C29,-1,0)=0),A29&lt;&gt;"s",A29&gt;OFFSET(B29,-1,0)),OFFSET(B29,-1,0),A29)))))</f>
        <v>2</v>
      </c>
      <c r="D29">
        <f t="shared" ref="D29:D30" ca="1" si="41">IF(OR(C29="S",C29=0),0,IF(ISERROR(K29),J29,SMALL(J29:K29,1)))</f>
        <v>3</v>
      </c>
      <c r="E29">
        <f ca="1">IF($C29=1,OFFSET(E29,-1,0)+MAX(1,COUNTIF(QCI!$A$13:$A$15,OFFSET(ORÇAMENTO!E29,-1,0))),OFFSET(E29,-1,0))</f>
        <v>1</v>
      </c>
      <c r="F29">
        <f t="shared" ref="F29:F30" ca="1" si="42">IF($C29=1,0,IF($C29=2,OFFSET(F29,-1,0)+1,OFFSET(F29,-1,0)))</f>
        <v>5</v>
      </c>
      <c r="G29">
        <f t="shared" ref="G29:G30" ca="1" si="43">IF(AND($C29&lt;=2,$C29&lt;&gt;0),0,IF($C29=3,OFFSET(G29,-1,0)+1,OFFSET(G29,-1,0)))</f>
        <v>0</v>
      </c>
      <c r="H29">
        <f t="shared" ref="H29:H30" ca="1" si="44">IF(AND($C29&lt;=3,$C29&lt;&gt;0),0,IF($C29=4,OFFSET(H29,-1,0)+1,OFFSET(H29,-1,0)))</f>
        <v>0</v>
      </c>
      <c r="I29">
        <f t="shared" ref="I29:I30" ca="1" si="45">IF(AND($C29&lt;=4,$C29&lt;&gt;0),0,IF(AND($C29="S",$X29&gt;0),OFFSET(I29,-1,0)+1,OFFSET(I29,-1,0)))</f>
        <v>0</v>
      </c>
      <c r="J29">
        <f t="shared" ca="1" si="9"/>
        <v>3</v>
      </c>
      <c r="K29" t="e">
        <f ca="1">IF(OR($C29="S",$C29=0),0,MATCH(OFFSET($D29,0,$C29)+IF($C29&lt;&gt;1,1,COUNTIF(QCI!$A$13:$A$15,ORÇAMENTO!E29)),OFFSET($D29,1,$C29,ROW($C$32)-ROW($C29)),0))</f>
        <v>#N/A</v>
      </c>
      <c r="L29" s="116" t="str">
        <f t="shared" ref="L29:L30" ca="1" si="46">IF(OR($X29&gt;0,$C29=1,$C29=2,$C29=3,$C29=4),"F","")</f>
        <v>F</v>
      </c>
      <c r="M29" s="117" t="s">
        <v>198</v>
      </c>
      <c r="N29" s="118" t="str">
        <f t="shared" ref="N29:N30" ca="1" si="47">CHOOSE(1+LOG(1+2*(C29=1)+4*(C29=2)+8*(C29=3)+16*(C29=4)+32*(C29="S"),2),"","Meta","Nível 2","Nível 3","Nível 4","Serviço")</f>
        <v>Nível 2</v>
      </c>
      <c r="O29" s="119" t="str">
        <f t="shared" ref="O29:O30" ca="1" si="48">IF(OR($C29=0,$L29=""),"-",CONCATENATE(E29&amp;".",IF(AND($A$5&gt;=2,$C29&gt;=2),F29&amp;".",""),IF(AND($A$5&gt;=3,$C29&gt;=3),G29&amp;".",""),IF(AND($A$5&gt;=4,$C29&gt;=4),H29&amp;".",""),IF($C29="S",I29&amp;".","")))</f>
        <v>1.5.</v>
      </c>
      <c r="P29" s="120" t="s">
        <v>249</v>
      </c>
      <c r="Q29" s="121"/>
      <c r="R29" s="122" t="s">
        <v>459</v>
      </c>
      <c r="S29" s="123" t="str">
        <f t="shared" ref="S29:S30" ca="1" si="49">REFERENCIA.Unidade</f>
        <v>-</v>
      </c>
      <c r="T29" s="124">
        <f ca="1">OFFSET(CÁLCULO!H$15,ROW($T29)-ROW(T$15),0)</f>
        <v>0</v>
      </c>
      <c r="U29" s="125">
        <f t="shared" ref="U29" ca="1" si="50">AG29</f>
        <v>0</v>
      </c>
      <c r="V29" s="126" t="s">
        <v>158</v>
      </c>
      <c r="W29" s="124">
        <f t="shared" ref="W29:W30" ca="1" si="51">IF($C29="S",ROUND(IF(TIPOORCAMENTO="Proposto",ORÇAMENTO.CustoUnitario*(1+$AH29),ORÇAMENTO.PrecoUnitarioLicitado),15-13*$AF$10),0)</f>
        <v>0</v>
      </c>
      <c r="X29" s="127">
        <f t="shared" ref="X29:X30" ca="1" si="52">IF($C29="S",VTOTAL1,IF($C29=0,0,ROUND(SomaAgrup,15-13*$AF$11)))</f>
        <v>0</v>
      </c>
      <c r="Y29" s="128" t="s">
        <v>247</v>
      </c>
      <c r="Z29" t="str">
        <f t="shared" ref="Z29:Z30" ca="1" si="53">IF(AND($C29="S",$X29&gt;0),IF(ISBLANK($Y29),"RA",LEFT($Y29,2)),"")</f>
        <v/>
      </c>
      <c r="AA29" s="129">
        <f ca="1">IF($C29="S",IF($Z29="CP",$X29,IF($Z29="RA",(($X29)*QCI!$AA$3),0)),SomaAgrup)</f>
        <v>0</v>
      </c>
      <c r="AB29" s="130">
        <f t="shared" ref="AB29:AB30" ca="1" si="54">IF($C29="S",IF($Z29="OU",ROUND($X29,2),0),SomaAgrup)</f>
        <v>0</v>
      </c>
      <c r="AC29" s="131" t="str">
        <f t="shared" ref="AC29:AC30" ca="1" si="55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>
        <f ca="1">IF(C29&lt;=CRONO.NivelExibicao,MAX($AD$15:OFFSET(AD29,-1,0))+IF($C29&lt;&gt;1,1,MAX(1,COUNTIF(QCI!$A$13:$A$15,OFFSET($E29,-1,0)))),"")</f>
        <v>6</v>
      </c>
      <c r="AE29" s="7" t="b">
        <f t="shared" ref="AE29:AE30" ca="1" si="56">IF(AND($C29="S",ORÇAMENTO.CodBarra&lt;&gt;""),IF(ORÇAMENTO.Fonte="",ORÇAMENTO.CodBarra,CONCATENATE(ORÇAMENTO.Fonte," ",ORÇAMENTO.CodBarra)))</f>
        <v>0</v>
      </c>
      <c r="AF29" s="13" t="str">
        <f t="shared" ref="AF29:AF30" ca="1" si="57">IF(ISERROR(INDIRECT(ORÇAMENTO.BancoRef)),"(abra o arquivo 'Referência "&amp;Excel_BuiltIn_Database&amp;".xls)",IF(OR($C29&lt;&gt;"S",ORÇAMENTO.CodBarra=""),"(Sem Código)",IF(ISERROR(MATCH($AE29,INDIRECT(ORÇAMENTO.BancoRef),0)),"(Código não identificado nas referências)",MATCH($AE29,INDIRECT(ORÇAMENTO.BancoRef),0))))</f>
        <v>(abra o arquivo 'Referência 04-2024.xls)</v>
      </c>
      <c r="AG29" s="498">
        <f t="shared" ref="AG29:AG30" ca="1" si="58">ROUND(IF(DESONERACAO="sim",REFERENCIA.Desonerado,REFERENCIA.NaoDesonerado),2)</f>
        <v>0</v>
      </c>
      <c r="AH29" s="499">
        <f t="shared" ref="AH29:AH30" ca="1" si="59">ROUND(IF(ISNUMBER(ORÇAMENTO.OpcaoBDI),ORÇAMENTO.OpcaoBDI,IF(LEFT(ORÇAMENTO.OpcaoBDI,3)="BDI",HLOOKUP(ORÇAMENTO.OpcaoBDI,$F$4:$H$5,2,FALSE),0)),15-11*$AF$9)</f>
        <v>0.22869999999999999</v>
      </c>
      <c r="AJ29" s="501"/>
      <c r="AL29" s="527"/>
      <c r="AM29" s="380">
        <f t="shared" ca="1" si="0"/>
        <v>0</v>
      </c>
      <c r="AN29" s="566">
        <f t="shared" ref="AN29:AN30" ca="1" si="60">ROUND(ORÇAMENTO.CustoUnitario*(1+$AH29),2)</f>
        <v>0</v>
      </c>
    </row>
    <row r="30" spans="1:40" ht="25.5" x14ac:dyDescent="0.2">
      <c r="A30" t="str">
        <f t="shared" si="38"/>
        <v>S</v>
      </c>
      <c r="B30">
        <f t="shared" ca="1" si="39"/>
        <v>2</v>
      </c>
      <c r="C30" t="str">
        <f t="shared" ca="1" si="40"/>
        <v>S</v>
      </c>
      <c r="D30">
        <f t="shared" ca="1" si="41"/>
        <v>0</v>
      </c>
      <c r="E30">
        <f ca="1">IF($C30=1,OFFSET(E30,-1,0)+MAX(1,COUNTIF(QCI!$A$13:$A$15,OFFSET(ORÇAMENTO!E30,-1,0))),OFFSET(E30,-1,0))</f>
        <v>1</v>
      </c>
      <c r="F30">
        <f t="shared" ca="1" si="42"/>
        <v>5</v>
      </c>
      <c r="G30">
        <f t="shared" ca="1" si="43"/>
        <v>0</v>
      </c>
      <c r="H30">
        <f t="shared" ca="1" si="44"/>
        <v>0</v>
      </c>
      <c r="I30">
        <f t="shared" ca="1" si="45"/>
        <v>0</v>
      </c>
      <c r="J30">
        <f t="shared" ca="1" si="9"/>
        <v>0</v>
      </c>
      <c r="K30">
        <f ca="1">IF(OR($C30="S",$C30=0),0,MATCH(OFFSET($D30,0,$C30)+IF($C30&lt;&gt;1,1,COUNTIF(QCI!$A$13:$A$15,ORÇAMENTO!E30)),OFFSET($D30,1,$C30,ROW($C$32)-ROW($C30)),0))</f>
        <v>0</v>
      </c>
      <c r="L30" s="116" t="str">
        <f t="shared" ca="1" si="46"/>
        <v/>
      </c>
      <c r="M30" s="117" t="s">
        <v>201</v>
      </c>
      <c r="N30" s="118" t="str">
        <f t="shared" ca="1" si="47"/>
        <v>Serviço</v>
      </c>
      <c r="O30" s="119" t="str">
        <f t="shared" ca="1" si="48"/>
        <v>-</v>
      </c>
      <c r="P30" s="120" t="s">
        <v>461</v>
      </c>
      <c r="Q30" s="121" t="s">
        <v>460</v>
      </c>
      <c r="R30" s="122" t="str">
        <f ca="1">IF($C30="S",REFERENCIA.Descricao,"(digite a descrição aqui)")</f>
        <v>(abra o arquivo 'Referência 04-2024.xls)</v>
      </c>
      <c r="S30" s="123" t="str">
        <f t="shared" ca="1" si="49"/>
        <v>-</v>
      </c>
      <c r="T30" s="124">
        <f ca="1">OFFSET(CÁLCULO!H$15,ROW($T30)-ROW(T$15),0)</f>
        <v>1</v>
      </c>
      <c r="U30" s="125">
        <f t="shared" ref="U30:U31" ca="1" si="61">AG30</f>
        <v>0</v>
      </c>
      <c r="V30" s="126" t="s">
        <v>158</v>
      </c>
      <c r="W30" s="124">
        <f t="shared" ca="1" si="51"/>
        <v>0</v>
      </c>
      <c r="X30" s="127">
        <f t="shared" ca="1" si="52"/>
        <v>0</v>
      </c>
      <c r="Y30" s="128" t="s">
        <v>247</v>
      </c>
      <c r="Z30" t="str">
        <f t="shared" ca="1" si="53"/>
        <v/>
      </c>
      <c r="AA30" s="129">
        <f ca="1">IF($C30="S",IF($Z30="CP",$X30,IF($Z30="RA",(($X30)*QCI!$AA$3),0)),SomaAgrup)</f>
        <v>0</v>
      </c>
      <c r="AB30" s="130">
        <f t="shared" ca="1" si="54"/>
        <v>0</v>
      </c>
      <c r="AC30" s="131" t="str">
        <f t="shared" ca="1" si="55"/>
        <v/>
      </c>
      <c r="AD30" t="str">
        <f ca="1">IF(C30&lt;=CRONO.NivelExibicao,MAX($AD$15:OFFSET(AD30,-1,0))+IF($C30&lt;&gt;1,1,MAX(1,COUNTIF(QCI!$A$13:$A$15,OFFSET($E30,-1,0)))),"")</f>
        <v/>
      </c>
      <c r="AE30" s="7" t="str">
        <f t="shared" ca="1" si="56"/>
        <v>COMPOSIÇÃO 007</v>
      </c>
      <c r="AF30" s="13" t="str">
        <f t="shared" ca="1" si="57"/>
        <v>(abra o arquivo 'Referência 04-2024.xls)</v>
      </c>
      <c r="AG30" s="498">
        <f t="shared" ca="1" si="58"/>
        <v>0</v>
      </c>
      <c r="AH30" s="499">
        <f t="shared" ca="1" si="59"/>
        <v>0.22869999999999999</v>
      </c>
      <c r="AJ30" s="501">
        <v>4</v>
      </c>
      <c r="AL30" s="527"/>
      <c r="AM30" s="380">
        <f t="shared" ca="1" si="0"/>
        <v>0</v>
      </c>
      <c r="AN30" s="566">
        <f t="shared" ca="1" si="60"/>
        <v>0</v>
      </c>
    </row>
    <row r="31" spans="1:40" s="575" customFormat="1" ht="25.5" x14ac:dyDescent="0.2">
      <c r="A31" s="575" t="str">
        <f>CHOOSE(1+LOG(1+2*(ORÇAMENTO.Nivel="Meta")+4*(ORÇAMENTO.Nivel="Nível 2")+8*(ORÇAMENTO.Nivel="Nível 3")+16*(ORÇAMENTO.Nivel="Nível 4")+32*(ORÇAMENTO.Nivel="Serviço"),2),0,1,2,3,4,"S")</f>
        <v>S</v>
      </c>
      <c r="B31" s="575">
        <f ca="1">IF(OR(C31="s",C31=0),OFFSET(B31,-1,0),C31)</f>
        <v>2</v>
      </c>
      <c r="C31" s="575" t="str">
        <f ca="1">IF(OFFSET(C31,-1,0)="L",1,IF(OFFSET(C31,-1,0)=1,2,IF(OR(A31="s",A31=0),"S",IF(AND(OFFSET(C31,-1,0)=2,A31=4),3,IF(AND(OR(OFFSET(C31,-1,0)="s",OFFSET(C31,-1,0)=0),A31&lt;&gt;"s",A31&gt;OFFSET(B31,-1,0)),OFFSET(B31,-1,0),A31)))))</f>
        <v>S</v>
      </c>
      <c r="D31" s="575">
        <f ca="1">IF(OR(C31="S",C31=0),0,IF(ISERROR(K31),J31,SMALL(J31:K31,1)))</f>
        <v>0</v>
      </c>
      <c r="E31" s="575">
        <f ca="1">IF($C31=1,OFFSET(E31,-1,0)+MAX(1,COUNTIF(QCI!$A$13:$A$15,OFFSET(ORÇAMENTO!E31,-1,0))),OFFSET(E31,-1,0))</f>
        <v>1</v>
      </c>
      <c r="F31" s="575">
        <f ca="1">IF($C31=1,0,IF($C31=2,OFFSET(F31,-1,0)+1,OFFSET(F31,-1,0)))</f>
        <v>5</v>
      </c>
      <c r="G31" s="575">
        <f ca="1">IF(AND($C31&lt;=2,$C31&lt;&gt;0),0,IF($C31=3,OFFSET(G31,-1,0)+1,OFFSET(G31,-1,0)))</f>
        <v>0</v>
      </c>
      <c r="H31" s="575">
        <f ca="1">IF(AND($C31&lt;=3,$C31&lt;&gt;0),0,IF($C31=4,OFFSET(H31,-1,0)+1,OFFSET(H31,-1,0)))</f>
        <v>0</v>
      </c>
      <c r="I31" s="575">
        <f ca="1">IF(AND($C31&lt;=4,$C31&lt;&gt;0),0,IF(AND($C31="S",$X31&gt;0),OFFSET(I31,-1,0)+1,OFFSET(I31,-1,0)))</f>
        <v>0</v>
      </c>
      <c r="J31" s="575">
        <f t="shared" ca="1" si="9"/>
        <v>0</v>
      </c>
      <c r="K31" s="575">
        <f ca="1">IF(OR($C31="S",$C31=0),0,MATCH(OFFSET($D31,0,$C31)+IF($C31&lt;&gt;1,1,COUNTIF(QCI!$A$13:$A$15,ORÇAMENTO!E31)),OFFSET($D31,1,$C31,ROW($C$32)-ROW($C31)),0))</f>
        <v>0</v>
      </c>
      <c r="L31" s="116" t="str">
        <f ca="1">IF(OR($X31&gt;0,$C31=1,$C31=2,$C31=3,$C31=4),"F","")</f>
        <v/>
      </c>
      <c r="M31" s="117" t="s">
        <v>201</v>
      </c>
      <c r="N31" s="118" t="str">
        <f ca="1">CHOOSE(1+LOG(1+2*(C31=1)+4*(C31=2)+8*(C31=3)+16*(C31=4)+32*(C31="S"),2),"","Meta","Nível 2","Nível 3","Nível 4","Serviço")</f>
        <v>Serviço</v>
      </c>
      <c r="O31" s="119" t="str">
        <f ca="1">IF(OR($C31=0,$L31=""),"-",CONCATENATE(E31&amp;".",IF(AND($A$5&gt;=2,$C31&gt;=2),F31&amp;".",""),IF(AND($A$5&gt;=3,$C31&gt;=3),G31&amp;".",""),IF(AND($A$5&gt;=4,$C31&gt;=4),H31&amp;".",""),IF($C31="S",I31&amp;".","")))</f>
        <v>-</v>
      </c>
      <c r="P31" s="120" t="s">
        <v>462</v>
      </c>
      <c r="Q31" s="121" t="s">
        <v>478</v>
      </c>
      <c r="R31" s="122" t="str">
        <f ca="1">IF($C31="S",REFERENCIA.Descricao,"(digite a descrição aqui)")</f>
        <v>(abra o arquivo 'Referência 04-2024.xls)</v>
      </c>
      <c r="S31" s="123" t="str">
        <f ca="1">REFERENCIA.Unidade</f>
        <v>-</v>
      </c>
      <c r="T31" s="124">
        <f ca="1">OFFSET(CÁLCULO!H$15,ROW($T31)-ROW(T$15),0)</f>
        <v>1</v>
      </c>
      <c r="U31" s="125">
        <f t="shared" ca="1" si="61"/>
        <v>0</v>
      </c>
      <c r="V31" s="126" t="s">
        <v>158</v>
      </c>
      <c r="W31" s="124">
        <f ca="1">IF($C31="S",ROUND(IF(TIPOORCAMENTO="Proposto",ORÇAMENTO.CustoUnitario*(1+$AH31),ORÇAMENTO.PrecoUnitarioLicitado),15-13*$AF$10),0)</f>
        <v>0</v>
      </c>
      <c r="X31" s="127">
        <f ca="1">IF($C31="S",VTOTAL1,IF($C31=0,0,ROUND(SomaAgrup,15-13*$AF$11)))</f>
        <v>0</v>
      </c>
      <c r="Y31" s="128" t="s">
        <v>247</v>
      </c>
      <c r="Z31" s="575" t="str">
        <f ca="1">IF(AND($C31="S",$X31&gt;0),IF(ISBLANK($Y31),"RA",LEFT($Y31,2)),"")</f>
        <v/>
      </c>
      <c r="AA31" s="129">
        <f ca="1">IF($C31="S",IF($Z31="CP",$X31,IF($Z31="RA",(($X31)*QCI!$AA$3),0)),SomaAgrup)</f>
        <v>0</v>
      </c>
      <c r="AB31" s="130">
        <f ca="1">IF($C31="S",IF($Z31="OU",ROUND($X31,2),0),SomaAgrup)</f>
        <v>0</v>
      </c>
      <c r="AC31" s="131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s="575" t="str">
        <f ca="1">IF(C31&lt;=CRONO.NivelExibicao,MAX($AD$15:OFFSET(AD31,-1,0))+IF($C31&lt;&gt;1,1,MAX(1,COUNTIF(QCI!$A$13:$A$15,OFFSET($E31,-1,0)))),"")</f>
        <v/>
      </c>
      <c r="AE31" s="7" t="str">
        <f ca="1">IF(AND($C31="S",ORÇAMENTO.CodBarra&lt;&gt;""),IF(ORÇAMENTO.Fonte="",ORÇAMENTO.CodBarra,CONCATENATE(ORÇAMENTO.Fonte," ",ORÇAMENTO.CodBarra)))</f>
        <v>Composição 006</v>
      </c>
      <c r="AF31" s="574" t="str">
        <f ca="1">IF(ISERROR(INDIRECT(ORÇAMENTO.BancoRef)),"(abra o arquivo 'Referência "&amp;Excel_BuiltIn_Database&amp;".xls)",IF(OR($C31&lt;&gt;"S",ORÇAMENTO.CodBarra=""),"(Sem Código)",IF(ISERROR(MATCH($AE31,INDIRECT(ORÇAMENTO.BancoRef),0)),"(Código não identificado nas referências)",MATCH($AE31,INDIRECT(ORÇAMENTO.BancoRef),0))))</f>
        <v>(abra o arquivo 'Referência 04-2024.xls)</v>
      </c>
      <c r="AG31" s="498">
        <f ca="1">ROUND(IF(DESONERACAO="sim",REFERENCIA.Desonerado,REFERENCIA.NaoDesonerado),2)</f>
        <v>0</v>
      </c>
      <c r="AH31" s="499">
        <f ca="1">ROUND(IF(ISNUMBER(ORÇAMENTO.OpcaoBDI),ORÇAMENTO.OpcaoBDI,IF(LEFT(ORÇAMENTO.OpcaoBDI,3)="BDI",HLOOKUP(ORÇAMENTO.OpcaoBDI,$F$4:$H$5,2,FALSE),0)),15-11*$AF$9)</f>
        <v>0.22869999999999999</v>
      </c>
      <c r="AJ31" s="501"/>
      <c r="AL31" s="527"/>
      <c r="AM31" s="380">
        <f t="shared" ca="1" si="0"/>
        <v>0</v>
      </c>
      <c r="AN31" s="566">
        <f ca="1">ROUND(ORÇAMENTO.CustoUnitario*(1+$AH31),2)</f>
        <v>0</v>
      </c>
    </row>
    <row r="32" spans="1:40" ht="5.0999999999999996" customHeight="1" x14ac:dyDescent="0.2">
      <c r="A32">
        <v>-1</v>
      </c>
      <c r="C32">
        <v>-1</v>
      </c>
      <c r="E32">
        <v>0</v>
      </c>
      <c r="F32">
        <v>0</v>
      </c>
      <c r="G32">
        <v>0</v>
      </c>
      <c r="H32">
        <v>0</v>
      </c>
      <c r="I32">
        <v>0</v>
      </c>
      <c r="L32" s="116" t="s">
        <v>248</v>
      </c>
      <c r="M32" s="492"/>
      <c r="N32" s="493"/>
      <c r="O32" s="492"/>
      <c r="P32" s="494"/>
      <c r="Q32" s="494"/>
      <c r="R32" s="494"/>
      <c r="S32" s="494"/>
      <c r="T32" s="494"/>
      <c r="U32" s="494"/>
      <c r="V32" s="494"/>
      <c r="W32" s="494"/>
      <c r="X32" s="493"/>
      <c r="AG32" s="484"/>
      <c r="AH32" s="486"/>
      <c r="AJ32" s="495"/>
      <c r="AL32" s="484"/>
      <c r="AM32" s="485"/>
      <c r="AN32" s="486"/>
    </row>
    <row r="35" spans="15:28" ht="14.25" x14ac:dyDescent="0.2">
      <c r="O35" s="140" t="s">
        <v>250</v>
      </c>
      <c r="Q35" s="614" t="s">
        <v>251</v>
      </c>
      <c r="R35" s="614"/>
      <c r="S35" s="614"/>
      <c r="T35" s="614"/>
      <c r="U35" s="614"/>
      <c r="V35" s="614"/>
      <c r="W35" s="614"/>
      <c r="X35" s="614"/>
    </row>
    <row r="37" spans="15:28" ht="14.25" x14ac:dyDescent="0.2">
      <c r="O37" s="141" t="s">
        <v>189</v>
      </c>
      <c r="X37" s="4"/>
    </row>
    <row r="38" spans="15:28" ht="12.75" customHeight="1" x14ac:dyDescent="0.2">
      <c r="O38" s="615"/>
      <c r="P38" s="615"/>
      <c r="Q38" s="615"/>
      <c r="R38" s="615"/>
      <c r="S38" s="615"/>
      <c r="T38" s="615"/>
      <c r="U38" s="615"/>
      <c r="V38" s="615"/>
      <c r="W38" s="615"/>
      <c r="X38" s="615"/>
    </row>
    <row r="39" spans="15:28" x14ac:dyDescent="0.2">
      <c r="O39" s="615"/>
      <c r="P39" s="615"/>
      <c r="Q39" s="615"/>
      <c r="R39" s="615"/>
      <c r="S39" s="615"/>
      <c r="T39" s="615"/>
      <c r="U39" s="615"/>
      <c r="V39" s="615"/>
      <c r="W39" s="615"/>
      <c r="X39" s="615"/>
    </row>
    <row r="40" spans="15:28" x14ac:dyDescent="0.2">
      <c r="O40" s="615"/>
      <c r="P40" s="615"/>
      <c r="Q40" s="615"/>
      <c r="R40" s="615"/>
      <c r="S40" s="615"/>
      <c r="T40" s="615"/>
      <c r="U40" s="615"/>
      <c r="V40" s="615"/>
      <c r="W40" s="615"/>
      <c r="X40" s="615"/>
    </row>
    <row r="41" spans="15:28" ht="14.25" x14ac:dyDescent="0.2">
      <c r="O41" s="534"/>
      <c r="P41" s="534"/>
      <c r="Q41" s="534"/>
      <c r="R41" s="534"/>
      <c r="S41" s="534"/>
      <c r="T41" s="534"/>
      <c r="U41" s="534"/>
      <c r="V41" s="534"/>
      <c r="W41" s="534"/>
      <c r="X41" s="534"/>
      <c r="Y41" s="534"/>
      <c r="Z41" s="142"/>
      <c r="AA41" s="142"/>
      <c r="AB41" s="142"/>
    </row>
    <row r="42" spans="15:28" ht="15" x14ac:dyDescent="0.25">
      <c r="O42" s="616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42" s="616"/>
      <c r="Q42" s="616"/>
      <c r="R42" s="616"/>
      <c r="S42" s="616"/>
      <c r="T42" s="616"/>
      <c r="U42" s="616"/>
      <c r="V42" s="616"/>
      <c r="W42" s="616"/>
      <c r="X42" s="616"/>
      <c r="Y42" s="143"/>
      <c r="Z42" s="143"/>
      <c r="AA42" s="143"/>
      <c r="AB42" s="143"/>
    </row>
    <row r="43" spans="15:28" ht="15" customHeight="1" x14ac:dyDescent="0.25">
      <c r="O43" s="618" t="s">
        <v>252</v>
      </c>
      <c r="P43" s="618"/>
      <c r="Q43" s="618"/>
      <c r="R43" s="618"/>
      <c r="S43" s="618"/>
      <c r="T43" s="618"/>
      <c r="U43" s="618"/>
      <c r="V43" s="618"/>
      <c r="W43" s="618"/>
      <c r="X43" s="618"/>
      <c r="Y43" s="143"/>
      <c r="Z43" s="143"/>
      <c r="AA43" s="143"/>
      <c r="AB43" s="143"/>
    </row>
    <row r="45" spans="15:28" ht="30" customHeight="1" x14ac:dyDescent="0.2">
      <c r="O45" s="617" t="str">
        <f>Import.Município</f>
        <v>Caçapava do Sul/RS</v>
      </c>
      <c r="P45" s="617"/>
      <c r="Q45" s="617"/>
      <c r="S45" s="553"/>
      <c r="T45" s="553"/>
      <c r="U45" s="553"/>
      <c r="V45" s="553"/>
      <c r="W45" s="479"/>
    </row>
    <row r="46" spans="15:28" x14ac:dyDescent="0.2">
      <c r="O46" s="10" t="s">
        <v>190</v>
      </c>
      <c r="S46" s="194" t="s">
        <v>192</v>
      </c>
      <c r="T46" s="194"/>
      <c r="U46" s="194"/>
      <c r="V46" s="194"/>
    </row>
    <row r="47" spans="15:28" x14ac:dyDescent="0.2">
      <c r="S47" s="78" t="s">
        <v>109</v>
      </c>
      <c r="T47" s="79" t="str">
        <f t="array" ref="T47:T49">Import.RespOrçamento</f>
        <v>Fernando Cesar Nubias Pereira</v>
      </c>
      <c r="V47" s="80"/>
    </row>
    <row r="48" spans="15:28" x14ac:dyDescent="0.2">
      <c r="O48" s="612">
        <f ca="1">DADOS!$F$25</f>
        <v>45545</v>
      </c>
      <c r="P48" s="612"/>
      <c r="Q48" s="612"/>
      <c r="S48" s="78" t="s">
        <v>110</v>
      </c>
      <c r="T48" s="79" t="str">
        <v>RS A - 228673-4</v>
      </c>
      <c r="U48" s="80"/>
      <c r="V48" s="80"/>
    </row>
    <row r="49" spans="15:22" x14ac:dyDescent="0.2">
      <c r="O49" s="146" t="s">
        <v>191</v>
      </c>
      <c r="P49" s="1"/>
      <c r="Q49" s="1"/>
      <c r="S49" s="78" t="s">
        <v>111</v>
      </c>
      <c r="T49" s="79" t="str">
        <v>13882809</v>
      </c>
      <c r="U49" s="80"/>
      <c r="V49" s="80"/>
    </row>
  </sheetData>
  <sheetProtection password="BD1F" sheet="1" objects="1" scenarios="1" autoFilter="0"/>
  <autoFilter ref="L15:L32"/>
  <mergeCells count="24">
    <mergeCell ref="AE5:AF5"/>
    <mergeCell ref="O7:P7"/>
    <mergeCell ref="S7:U7"/>
    <mergeCell ref="AL7:AL11"/>
    <mergeCell ref="Y8:Y12"/>
    <mergeCell ref="Z8:Z12"/>
    <mergeCell ref="AA12:AB12"/>
    <mergeCell ref="AJ7:AJ11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O48:Q48"/>
    <mergeCell ref="O15:R15"/>
    <mergeCell ref="Q35:X35"/>
    <mergeCell ref="O38:X40"/>
    <mergeCell ref="O42:X42"/>
    <mergeCell ref="O45:Q45"/>
    <mergeCell ref="O43:X43"/>
  </mergeCells>
  <phoneticPr fontId="38" type="noConversion"/>
  <conditionalFormatting sqref="M14 M26:M27 M30 M20:M23">
    <cfRule type="cellIs" dxfId="296" priority="9652" stopIfTrue="1" operator="notEqual">
      <formula>$N14</formula>
    </cfRule>
  </conditionalFormatting>
  <conditionalFormatting sqref="N14:O14 R14 W14:X14 W23:X23 N23:O23 N20:O20 R20 W20:X20 N26:O27 W26:X27 N30:O30 W30:X30 R26:R30">
    <cfRule type="expression" dxfId="295" priority="9653" stopIfTrue="1">
      <formula>$C14=1</formula>
    </cfRule>
    <cfRule type="expression" dxfId="294" priority="9654" stopIfTrue="1">
      <formula>OR($C14=0,$C14=2,$C14=3,$C14=4)</formula>
    </cfRule>
  </conditionalFormatting>
  <conditionalFormatting sqref="U14:V14 U20:V20 U26:V27 V30 U23:V23 U25 U28:U31">
    <cfRule type="expression" dxfId="293" priority="9655" stopIfTrue="1">
      <formula>$C14=1</formula>
    </cfRule>
    <cfRule type="expression" dxfId="292" priority="9656" stopIfTrue="1">
      <formula>OR($C14=0,$C14=2,$C14=3,$C14=4)</formula>
    </cfRule>
    <cfRule type="expression" dxfId="291" priority="9657" stopIfTrue="1">
      <formula>AND(TIPOORCAMENTO="Licitado",$C14&lt;&gt;"L",$C14&lt;&gt;-1)</formula>
    </cfRule>
  </conditionalFormatting>
  <conditionalFormatting sqref="P14:Q14 S14:T14 Y14 AG14:AH14 S20:T22 P26:Q27 S26:T27 Y26:Y27 AG26:AH27 P30:Q30 S30:T30 Y30 AG30:AH30 P20:Q23 Y20:Y23 AG20:AH23">
    <cfRule type="expression" dxfId="290" priority="9658" stopIfTrue="1">
      <formula>$C14=1</formula>
    </cfRule>
    <cfRule type="expression" dxfId="289" priority="9659" stopIfTrue="1">
      <formula>OR($C14=0,$C14=2,$C14=3,$C14=4)</formula>
    </cfRule>
  </conditionalFormatting>
  <conditionalFormatting sqref="AJ7:AJ15 AJ26:AJ27 AJ30 AJ32 AJ20:AJ23">
    <cfRule type="expression" dxfId="288" priority="9660" stopIfTrue="1">
      <formula>OR(ACOMPANHAMENTO&lt;&gt;"BM",TIPOORCAMENTO="Licitado")</formula>
    </cfRule>
    <cfRule type="expression" dxfId="287" priority="9661" stopIfTrue="1">
      <formula>$C7=1</formula>
    </cfRule>
    <cfRule type="expression" dxfId="286" priority="9662" stopIfTrue="1">
      <formula>OR(AND(ISNUMBER($C7),$C7=0),$C7=2,$C7=3,$C7=4)</formula>
    </cfRule>
  </conditionalFormatting>
  <conditionalFormatting sqref="AL7:AL15 AL26:AL27 AL30 AL32 AL20:AL23">
    <cfRule type="expression" dxfId="285" priority="9663" stopIfTrue="1">
      <formula>TIPOORCAMENTO="PROPOSTO"</formula>
    </cfRule>
    <cfRule type="expression" dxfId="284" priority="9664" stopIfTrue="1">
      <formula>$C7=1</formula>
    </cfRule>
    <cfRule type="expression" dxfId="283" priority="9665" stopIfTrue="1">
      <formula>OR(AND(ISNUMBER($C7),$C7=0),$C7=2,$C7=3,$C7=4)</formula>
    </cfRule>
  </conditionalFormatting>
  <conditionalFormatting sqref="O8:P8">
    <cfRule type="expression" dxfId="282" priority="9669" stopIfTrue="1">
      <formula>ISERROR(INDIRECT($F$9))</formula>
    </cfRule>
  </conditionalFormatting>
  <conditionalFormatting sqref="AM7:AN15 AM23:AN23 AM20:AN20 AM26:AN27 AM30:AN30 AM32:AN32">
    <cfRule type="expression" dxfId="281" priority="9666" stopIfTrue="1">
      <formula>TIPOORCAMENTO="PROPOSTO"</formula>
    </cfRule>
    <cfRule type="expression" dxfId="280" priority="9667" stopIfTrue="1">
      <formula>$C7=1</formula>
    </cfRule>
    <cfRule type="expression" dxfId="279" priority="9668" stopIfTrue="1">
      <formula>OR(AND(ISNUMBER($C7),$C7=0),$C7=2,$C7=3,$C7=4)</formula>
    </cfRule>
  </conditionalFormatting>
  <conditionalFormatting sqref="M16 M19">
    <cfRule type="cellIs" dxfId="278" priority="2334" stopIfTrue="1" operator="notEqual">
      <formula>$N16</formula>
    </cfRule>
  </conditionalFormatting>
  <conditionalFormatting sqref="R23 R16 N16:O16 W16:X16 W19:X19 N19:O19 R19">
    <cfRule type="expression" dxfId="277" priority="2335" stopIfTrue="1">
      <formula>$C16=1</formula>
    </cfRule>
    <cfRule type="expression" dxfId="276" priority="2336" stopIfTrue="1">
      <formula>OR($C16=0,$C16=2,$C16=3,$C16=4)</formula>
    </cfRule>
  </conditionalFormatting>
  <conditionalFormatting sqref="U16:V16 U19:V19">
    <cfRule type="expression" dxfId="275" priority="2337" stopIfTrue="1">
      <formula>$C16=1</formula>
    </cfRule>
    <cfRule type="expression" dxfId="274" priority="2338" stopIfTrue="1">
      <formula>OR($C16=0,$C16=2,$C16=3,$C16=4)</formula>
    </cfRule>
    <cfRule type="expression" dxfId="273" priority="2339" stopIfTrue="1">
      <formula>AND(TIPOORCAMENTO="Licitado",$C16&lt;&gt;"L",$C16&lt;&gt;-1)</formula>
    </cfRule>
  </conditionalFormatting>
  <conditionalFormatting sqref="S23:T23 S16:T16 P16:Q16 Y16 AG16:AH16 AG19:AH19 Y19 P19:Q19 S19:T19">
    <cfRule type="expression" dxfId="272" priority="2340" stopIfTrue="1">
      <formula>$C16=1</formula>
    </cfRule>
    <cfRule type="expression" dxfId="271" priority="2341" stopIfTrue="1">
      <formula>OR($C16=0,$C16=2,$C16=3,$C16=4)</formula>
    </cfRule>
  </conditionalFormatting>
  <conditionalFormatting sqref="AJ16 AJ19">
    <cfRule type="expression" dxfId="270" priority="2342" stopIfTrue="1">
      <formula>OR(ACOMPANHAMENTO&lt;&gt;"BM",TIPOORCAMENTO="Licitado")</formula>
    </cfRule>
    <cfRule type="expression" dxfId="269" priority="2343" stopIfTrue="1">
      <formula>$C16=1</formula>
    </cfRule>
    <cfRule type="expression" dxfId="268" priority="2344" stopIfTrue="1">
      <formula>OR(AND(ISNUMBER($C16),$C16=0),$C16=2,$C16=3,$C16=4)</formula>
    </cfRule>
  </conditionalFormatting>
  <conditionalFormatting sqref="AL16 AL19">
    <cfRule type="expression" dxfId="267" priority="2345" stopIfTrue="1">
      <formula>TIPOORCAMENTO="PROPOSTO"</formula>
    </cfRule>
    <cfRule type="expression" dxfId="266" priority="2346" stopIfTrue="1">
      <formula>$C16=1</formula>
    </cfRule>
    <cfRule type="expression" dxfId="265" priority="2347" stopIfTrue="1">
      <formula>OR(AND(ISNUMBER($C16),$C16=0),$C16=2,$C16=3,$C16=4)</formula>
    </cfRule>
  </conditionalFormatting>
  <conditionalFormatting sqref="AM16:AN16 AM19:AN19">
    <cfRule type="expression" dxfId="264" priority="2348" stopIfTrue="1">
      <formula>TIPOORCAMENTO="PROPOSTO"</formula>
    </cfRule>
    <cfRule type="expression" dxfId="263" priority="2349" stopIfTrue="1">
      <formula>$C16=1</formula>
    </cfRule>
    <cfRule type="expression" dxfId="262" priority="2350" stopIfTrue="1">
      <formula>OR(AND(ISNUMBER($C16),$C16=0),$C16=2,$C16=3,$C16=4)</formula>
    </cfRule>
  </conditionalFormatting>
  <conditionalFormatting sqref="M29">
    <cfRule type="cellIs" dxfId="261" priority="1197" stopIfTrue="1" operator="notEqual">
      <formula>$N29</formula>
    </cfRule>
  </conditionalFormatting>
  <conditionalFormatting sqref="N29:O29 W29:X29">
    <cfRule type="expression" dxfId="260" priority="1198" stopIfTrue="1">
      <formula>$C29=1</formula>
    </cfRule>
    <cfRule type="expression" dxfId="259" priority="1199" stopIfTrue="1">
      <formula>OR($C29=0,$C29=2,$C29=3,$C29=4)</formula>
    </cfRule>
  </conditionalFormatting>
  <conditionalFormatting sqref="V29">
    <cfRule type="expression" dxfId="258" priority="1200" stopIfTrue="1">
      <formula>$C29=1</formula>
    </cfRule>
    <cfRule type="expression" dxfId="257" priority="1201" stopIfTrue="1">
      <formula>OR($C29=0,$C29=2,$C29=3,$C29=4)</formula>
    </cfRule>
    <cfRule type="expression" dxfId="256" priority="1202" stopIfTrue="1">
      <formula>AND(TIPOORCAMENTO="Licitado",$C29&lt;&gt;"L",$C29&lt;&gt;-1)</formula>
    </cfRule>
  </conditionalFormatting>
  <conditionalFormatting sqref="P29:Q29 S29:T29 Y29 AG29:AH29">
    <cfRule type="expression" dxfId="255" priority="1203" stopIfTrue="1">
      <formula>$C29=1</formula>
    </cfRule>
    <cfRule type="expression" dxfId="254" priority="1204" stopIfTrue="1">
      <formula>OR($C29=0,$C29=2,$C29=3,$C29=4)</formula>
    </cfRule>
  </conditionalFormatting>
  <conditionalFormatting sqref="AJ29">
    <cfRule type="expression" dxfId="253" priority="1205" stopIfTrue="1">
      <formula>OR(ACOMPANHAMENTO&lt;&gt;"BM",TIPOORCAMENTO="Licitado")</formula>
    </cfRule>
    <cfRule type="expression" dxfId="252" priority="1206" stopIfTrue="1">
      <formula>$C29=1</formula>
    </cfRule>
    <cfRule type="expression" dxfId="251" priority="1207" stopIfTrue="1">
      <formula>OR(AND(ISNUMBER($C29),$C29=0),$C29=2,$C29=3,$C29=4)</formula>
    </cfRule>
  </conditionalFormatting>
  <conditionalFormatting sqref="AL29">
    <cfRule type="expression" dxfId="250" priority="1208" stopIfTrue="1">
      <formula>TIPOORCAMENTO="PROPOSTO"</formula>
    </cfRule>
    <cfRule type="expression" dxfId="249" priority="1209" stopIfTrue="1">
      <formula>$C29=1</formula>
    </cfRule>
    <cfRule type="expression" dxfId="248" priority="1210" stopIfTrue="1">
      <formula>OR(AND(ISNUMBER($C29),$C29=0),$C29=2,$C29=3,$C29=4)</formula>
    </cfRule>
  </conditionalFormatting>
  <conditionalFormatting sqref="AM29:AN29">
    <cfRule type="expression" dxfId="247" priority="1211" stopIfTrue="1">
      <formula>TIPOORCAMENTO="PROPOSTO"</formula>
    </cfRule>
    <cfRule type="expression" dxfId="246" priority="1212" stopIfTrue="1">
      <formula>$C29=1</formula>
    </cfRule>
    <cfRule type="expression" dxfId="245" priority="1213" stopIfTrue="1">
      <formula>OR(AND(ISNUMBER($C29),$C29=0),$C29=2,$C29=3,$C29=4)</formula>
    </cfRule>
  </conditionalFormatting>
  <conditionalFormatting sqref="M25">
    <cfRule type="cellIs" dxfId="244" priority="864" stopIfTrue="1" operator="notEqual">
      <formula>$N25</formula>
    </cfRule>
  </conditionalFormatting>
  <conditionalFormatting sqref="N25:O25 R25 W25:X25">
    <cfRule type="expression" dxfId="243" priority="865" stopIfTrue="1">
      <formula>$C25=1</formula>
    </cfRule>
    <cfRule type="expression" dxfId="242" priority="866" stopIfTrue="1">
      <formula>OR($C25=0,$C25=2,$C25=3,$C25=4)</formula>
    </cfRule>
  </conditionalFormatting>
  <conditionalFormatting sqref="V25">
    <cfRule type="expression" dxfId="241" priority="867" stopIfTrue="1">
      <formula>$C25=1</formula>
    </cfRule>
    <cfRule type="expression" dxfId="240" priority="868" stopIfTrue="1">
      <formula>OR($C25=0,$C25=2,$C25=3,$C25=4)</formula>
    </cfRule>
    <cfRule type="expression" dxfId="239" priority="869" stopIfTrue="1">
      <formula>AND(TIPOORCAMENTO="Licitado",$C25&lt;&gt;"L",$C25&lt;&gt;-1)</formula>
    </cfRule>
  </conditionalFormatting>
  <conditionalFormatting sqref="P25:Q25 S25:T25 Y25 AG25:AH25">
    <cfRule type="expression" dxfId="238" priority="870" stopIfTrue="1">
      <formula>$C25=1</formula>
    </cfRule>
    <cfRule type="expression" dxfId="237" priority="871" stopIfTrue="1">
      <formula>OR($C25=0,$C25=2,$C25=3,$C25=4)</formula>
    </cfRule>
  </conditionalFormatting>
  <conditionalFormatting sqref="AJ25">
    <cfRule type="expression" dxfId="236" priority="872" stopIfTrue="1">
      <formula>OR(ACOMPANHAMENTO&lt;&gt;"BM",TIPOORCAMENTO="Licitado")</formula>
    </cfRule>
    <cfRule type="expression" dxfId="235" priority="873" stopIfTrue="1">
      <formula>$C25=1</formula>
    </cfRule>
    <cfRule type="expression" dxfId="234" priority="874" stopIfTrue="1">
      <formula>OR(AND(ISNUMBER($C25),$C25=0),$C25=2,$C25=3,$C25=4)</formula>
    </cfRule>
  </conditionalFormatting>
  <conditionalFormatting sqref="AL25">
    <cfRule type="expression" dxfId="233" priority="875" stopIfTrue="1">
      <formula>TIPOORCAMENTO="PROPOSTO"</formula>
    </cfRule>
    <cfRule type="expression" dxfId="232" priority="876" stopIfTrue="1">
      <formula>$C25=1</formula>
    </cfRule>
    <cfRule type="expression" dxfId="231" priority="877" stopIfTrue="1">
      <formula>OR(AND(ISNUMBER($C25),$C25=0),$C25=2,$C25=3,$C25=4)</formula>
    </cfRule>
  </conditionalFormatting>
  <conditionalFormatting sqref="AM25:AN25">
    <cfRule type="expression" dxfId="230" priority="878" stopIfTrue="1">
      <formula>TIPOORCAMENTO="PROPOSTO"</formula>
    </cfRule>
    <cfRule type="expression" dxfId="229" priority="879" stopIfTrue="1">
      <formula>$C25=1</formula>
    </cfRule>
    <cfRule type="expression" dxfId="228" priority="880" stopIfTrue="1">
      <formula>OR(AND(ISNUMBER($C25),$C25=0),$C25=2,$C25=3,$C25=4)</formula>
    </cfRule>
  </conditionalFormatting>
  <conditionalFormatting sqref="M24">
    <cfRule type="cellIs" dxfId="227" priority="587" stopIfTrue="1" operator="notEqual">
      <formula>$N24</formula>
    </cfRule>
  </conditionalFormatting>
  <conditionalFormatting sqref="N24:O24 R24 W24:X24">
    <cfRule type="expression" dxfId="226" priority="588" stopIfTrue="1">
      <formula>$C24=1</formula>
    </cfRule>
    <cfRule type="expression" dxfId="225" priority="589" stopIfTrue="1">
      <formula>OR($C24=0,$C24=2,$C24=3,$C24=4)</formula>
    </cfRule>
  </conditionalFormatting>
  <conditionalFormatting sqref="U24:V24">
    <cfRule type="expression" dxfId="224" priority="590" stopIfTrue="1">
      <formula>$C24=1</formula>
    </cfRule>
    <cfRule type="expression" dxfId="223" priority="591" stopIfTrue="1">
      <formula>OR($C24=0,$C24=2,$C24=3,$C24=4)</formula>
    </cfRule>
    <cfRule type="expression" dxfId="222" priority="592" stopIfTrue="1">
      <formula>AND(TIPOORCAMENTO="Licitado",$C24&lt;&gt;"L",$C24&lt;&gt;-1)</formula>
    </cfRule>
  </conditionalFormatting>
  <conditionalFormatting sqref="P24:Q24 S24:T24 Y24 AG24:AH24">
    <cfRule type="expression" dxfId="221" priority="593" stopIfTrue="1">
      <formula>$C24=1</formula>
    </cfRule>
    <cfRule type="expression" dxfId="220" priority="594" stopIfTrue="1">
      <formula>OR($C24=0,$C24=2,$C24=3,$C24=4)</formula>
    </cfRule>
  </conditionalFormatting>
  <conditionalFormatting sqref="AJ24">
    <cfRule type="expression" dxfId="219" priority="595" stopIfTrue="1">
      <formula>OR(ACOMPANHAMENTO&lt;&gt;"BM",TIPOORCAMENTO="Licitado")</formula>
    </cfRule>
    <cfRule type="expression" dxfId="218" priority="596" stopIfTrue="1">
      <formula>$C24=1</formula>
    </cfRule>
    <cfRule type="expression" dxfId="217" priority="597" stopIfTrue="1">
      <formula>OR(AND(ISNUMBER($C24),$C24=0),$C24=2,$C24=3,$C24=4)</formula>
    </cfRule>
  </conditionalFormatting>
  <conditionalFormatting sqref="AL24">
    <cfRule type="expression" dxfId="216" priority="598" stopIfTrue="1">
      <formula>TIPOORCAMENTO="PROPOSTO"</formula>
    </cfRule>
    <cfRule type="expression" dxfId="215" priority="599" stopIfTrue="1">
      <formula>$C24=1</formula>
    </cfRule>
    <cfRule type="expression" dxfId="214" priority="600" stopIfTrue="1">
      <formula>OR(AND(ISNUMBER($C24),$C24=0),$C24=2,$C24=3,$C24=4)</formula>
    </cfRule>
  </conditionalFormatting>
  <conditionalFormatting sqref="AM24:AN24">
    <cfRule type="expression" dxfId="213" priority="601" stopIfTrue="1">
      <formula>TIPOORCAMENTO="PROPOSTO"</formula>
    </cfRule>
    <cfRule type="expression" dxfId="212" priority="602" stopIfTrue="1">
      <formula>$C24=1</formula>
    </cfRule>
    <cfRule type="expression" dxfId="211" priority="603" stopIfTrue="1">
      <formula>OR(AND(ISNUMBER($C24),$C24=0),$C24=2,$C24=3,$C24=4)</formula>
    </cfRule>
  </conditionalFormatting>
  <conditionalFormatting sqref="M17:M18">
    <cfRule type="cellIs" dxfId="210" priority="451" stopIfTrue="1" operator="notEqual">
      <formula>$N17</formula>
    </cfRule>
  </conditionalFormatting>
  <conditionalFormatting sqref="N17:O18 R17:R18 W17:X18">
    <cfRule type="expression" dxfId="209" priority="452" stopIfTrue="1">
      <formula>$C17=1</formula>
    </cfRule>
    <cfRule type="expression" dxfId="208" priority="453" stopIfTrue="1">
      <formula>OR($C17=0,$C17=2,$C17=3,$C17=4)</formula>
    </cfRule>
  </conditionalFormatting>
  <conditionalFormatting sqref="U17:V18">
    <cfRule type="expression" dxfId="207" priority="454" stopIfTrue="1">
      <formula>$C17=1</formula>
    </cfRule>
    <cfRule type="expression" dxfId="206" priority="455" stopIfTrue="1">
      <formula>OR($C17=0,$C17=2,$C17=3,$C17=4)</formula>
    </cfRule>
    <cfRule type="expression" dxfId="205" priority="456" stopIfTrue="1">
      <formula>AND(TIPOORCAMENTO="Licitado",$C17&lt;&gt;"L",$C17&lt;&gt;-1)</formula>
    </cfRule>
  </conditionalFormatting>
  <conditionalFormatting sqref="P17:Q18 S17:T18 Y17:Y18 AG17:AH18">
    <cfRule type="expression" dxfId="204" priority="457" stopIfTrue="1">
      <formula>$C17=1</formula>
    </cfRule>
    <cfRule type="expression" dxfId="203" priority="458" stopIfTrue="1">
      <formula>OR($C17=0,$C17=2,$C17=3,$C17=4)</formula>
    </cfRule>
  </conditionalFormatting>
  <conditionalFormatting sqref="AJ17:AJ18">
    <cfRule type="expression" dxfId="202" priority="459" stopIfTrue="1">
      <formula>OR(ACOMPANHAMENTO&lt;&gt;"BM",TIPOORCAMENTO="Licitado")</formula>
    </cfRule>
    <cfRule type="expression" dxfId="201" priority="460" stopIfTrue="1">
      <formula>$C17=1</formula>
    </cfRule>
    <cfRule type="expression" dxfId="200" priority="461" stopIfTrue="1">
      <formula>OR(AND(ISNUMBER($C17),$C17=0),$C17=2,$C17=3,$C17=4)</formula>
    </cfRule>
  </conditionalFormatting>
  <conditionalFormatting sqref="AL17:AL18">
    <cfRule type="expression" dxfId="199" priority="462" stopIfTrue="1">
      <formula>TIPOORCAMENTO="PROPOSTO"</formula>
    </cfRule>
    <cfRule type="expression" dxfId="198" priority="463" stopIfTrue="1">
      <formula>$C17=1</formula>
    </cfRule>
    <cfRule type="expression" dxfId="197" priority="464" stopIfTrue="1">
      <formula>OR(AND(ISNUMBER($C17),$C17=0),$C17=2,$C17=3,$C17=4)</formula>
    </cfRule>
  </conditionalFormatting>
  <conditionalFormatting sqref="AM17:AN18">
    <cfRule type="expression" dxfId="196" priority="465" stopIfTrue="1">
      <formula>TIPOORCAMENTO="PROPOSTO"</formula>
    </cfRule>
    <cfRule type="expression" dxfId="195" priority="466" stopIfTrue="1">
      <formula>$C17=1</formula>
    </cfRule>
    <cfRule type="expression" dxfId="194" priority="467" stopIfTrue="1">
      <formula>OR(AND(ISNUMBER($C17),$C17=0),$C17=2,$C17=3,$C17=4)</formula>
    </cfRule>
  </conditionalFormatting>
  <conditionalFormatting sqref="N21:O22 R21:R22 W21:X22">
    <cfRule type="expression" dxfId="193" priority="409" stopIfTrue="1">
      <formula>$C21=1</formula>
    </cfRule>
    <cfRule type="expression" dxfId="192" priority="410" stopIfTrue="1">
      <formula>OR($C21=0,$C21=2,$C21=3,$C21=4)</formula>
    </cfRule>
  </conditionalFormatting>
  <conditionalFormatting sqref="U21:V22">
    <cfRule type="expression" dxfId="191" priority="411" stopIfTrue="1">
      <formula>$C21=1</formula>
    </cfRule>
    <cfRule type="expression" dxfId="190" priority="412" stopIfTrue="1">
      <formula>OR($C21=0,$C21=2,$C21=3,$C21=4)</formula>
    </cfRule>
    <cfRule type="expression" dxfId="189" priority="413" stopIfTrue="1">
      <formula>AND(TIPOORCAMENTO="Licitado",$C21&lt;&gt;"L",$C21&lt;&gt;-1)</formula>
    </cfRule>
  </conditionalFormatting>
  <conditionalFormatting sqref="AM21:AN22">
    <cfRule type="expression" dxfId="188" priority="414" stopIfTrue="1">
      <formula>TIPOORCAMENTO="PROPOSTO"</formula>
    </cfRule>
    <cfRule type="expression" dxfId="187" priority="415" stopIfTrue="1">
      <formula>$C21=1</formula>
    </cfRule>
    <cfRule type="expression" dxfId="186" priority="416" stopIfTrue="1">
      <formula>OR(AND(ISNUMBER($C21),$C21=0),$C21=2,$C21=3,$C21=4)</formula>
    </cfRule>
  </conditionalFormatting>
  <conditionalFormatting sqref="M31">
    <cfRule type="cellIs" dxfId="185" priority="52" stopIfTrue="1" operator="notEqual">
      <formula>$N31</formula>
    </cfRule>
  </conditionalFormatting>
  <conditionalFormatting sqref="N31:O31 R31 W31:X31">
    <cfRule type="expression" dxfId="184" priority="53" stopIfTrue="1">
      <formula>$C31=1</formula>
    </cfRule>
    <cfRule type="expression" dxfId="183" priority="54" stopIfTrue="1">
      <formula>OR($C31=0,$C31=2,$C31=3,$C31=4)</formula>
    </cfRule>
  </conditionalFormatting>
  <conditionalFormatting sqref="V31">
    <cfRule type="expression" dxfId="182" priority="55" stopIfTrue="1">
      <formula>$C31=1</formula>
    </cfRule>
    <cfRule type="expression" dxfId="181" priority="56" stopIfTrue="1">
      <formula>OR($C31=0,$C31=2,$C31=3,$C31=4)</formula>
    </cfRule>
    <cfRule type="expression" dxfId="180" priority="57" stopIfTrue="1">
      <formula>AND(TIPOORCAMENTO="Licitado",$C31&lt;&gt;"L",$C31&lt;&gt;-1)</formula>
    </cfRule>
  </conditionalFormatting>
  <conditionalFormatting sqref="P31:Q31 S31:T31 Y31 AG31:AH31">
    <cfRule type="expression" dxfId="179" priority="58" stopIfTrue="1">
      <formula>$C31=1</formula>
    </cfRule>
    <cfRule type="expression" dxfId="178" priority="59" stopIfTrue="1">
      <formula>OR($C31=0,$C31=2,$C31=3,$C31=4)</formula>
    </cfRule>
  </conditionalFormatting>
  <conditionalFormatting sqref="AJ31">
    <cfRule type="expression" dxfId="177" priority="60" stopIfTrue="1">
      <formula>OR(ACOMPANHAMENTO&lt;&gt;"BM",TIPOORCAMENTO="Licitado")</formula>
    </cfRule>
    <cfRule type="expression" dxfId="176" priority="61" stopIfTrue="1">
      <formula>$C31=1</formula>
    </cfRule>
    <cfRule type="expression" dxfId="175" priority="62" stopIfTrue="1">
      <formula>OR(AND(ISNUMBER($C31),$C31=0),$C31=2,$C31=3,$C31=4)</formula>
    </cfRule>
  </conditionalFormatting>
  <conditionalFormatting sqref="AL31">
    <cfRule type="expression" dxfId="174" priority="63" stopIfTrue="1">
      <formula>TIPOORCAMENTO="PROPOSTO"</formula>
    </cfRule>
    <cfRule type="expression" dxfId="173" priority="64" stopIfTrue="1">
      <formula>$C31=1</formula>
    </cfRule>
    <cfRule type="expression" dxfId="172" priority="65" stopIfTrue="1">
      <formula>OR(AND(ISNUMBER($C31),$C31=0),$C31=2,$C31=3,$C31=4)</formula>
    </cfRule>
  </conditionalFormatting>
  <conditionalFormatting sqref="AM31:AN31">
    <cfRule type="expression" dxfId="171" priority="66" stopIfTrue="1">
      <formula>TIPOORCAMENTO="PROPOSTO"</formula>
    </cfRule>
    <cfRule type="expression" dxfId="170" priority="67" stopIfTrue="1">
      <formula>$C31=1</formula>
    </cfRule>
    <cfRule type="expression" dxfId="169" priority="68" stopIfTrue="1">
      <formula>OR(AND(ISNUMBER($C31),$C31=0),$C31=2,$C31=3,$C31=4)</formula>
    </cfRule>
  </conditionalFormatting>
  <conditionalFormatting sqref="M28">
    <cfRule type="cellIs" dxfId="168" priority="1" stopIfTrue="1" operator="notEqual">
      <formula>$N28</formula>
    </cfRule>
  </conditionalFormatting>
  <conditionalFormatting sqref="N28:O28 W28:X28">
    <cfRule type="expression" dxfId="167" priority="2" stopIfTrue="1">
      <formula>$C28=1</formula>
    </cfRule>
    <cfRule type="expression" dxfId="166" priority="3" stopIfTrue="1">
      <formula>OR($C28=0,$C28=2,$C28=3,$C28=4)</formula>
    </cfRule>
  </conditionalFormatting>
  <conditionalFormatting sqref="V28">
    <cfRule type="expression" dxfId="165" priority="4" stopIfTrue="1">
      <formula>$C28=1</formula>
    </cfRule>
    <cfRule type="expression" dxfId="164" priority="5" stopIfTrue="1">
      <formula>OR($C28=0,$C28=2,$C28=3,$C28=4)</formula>
    </cfRule>
    <cfRule type="expression" dxfId="163" priority="6" stopIfTrue="1">
      <formula>AND(TIPOORCAMENTO="Licitado",$C28&lt;&gt;"L",$C28&lt;&gt;-1)</formula>
    </cfRule>
  </conditionalFormatting>
  <conditionalFormatting sqref="P28:Q28 S28:T28 Y28 AG28:AH28">
    <cfRule type="expression" dxfId="162" priority="7" stopIfTrue="1">
      <formula>$C28=1</formula>
    </cfRule>
    <cfRule type="expression" dxfId="161" priority="8" stopIfTrue="1">
      <formula>OR($C28=0,$C28=2,$C28=3,$C28=4)</formula>
    </cfRule>
  </conditionalFormatting>
  <conditionalFormatting sqref="AJ28">
    <cfRule type="expression" dxfId="160" priority="9" stopIfTrue="1">
      <formula>OR(ACOMPANHAMENTO&lt;&gt;"BM",TIPOORCAMENTO="Licitado")</formula>
    </cfRule>
    <cfRule type="expression" dxfId="159" priority="10" stopIfTrue="1">
      <formula>$C28=1</formula>
    </cfRule>
    <cfRule type="expression" dxfId="158" priority="11" stopIfTrue="1">
      <formula>OR(AND(ISNUMBER($C28),$C28=0),$C28=2,$C28=3,$C28=4)</formula>
    </cfRule>
  </conditionalFormatting>
  <conditionalFormatting sqref="AL28">
    <cfRule type="expression" dxfId="157" priority="12" stopIfTrue="1">
      <formula>TIPOORCAMENTO="PROPOSTO"</formula>
    </cfRule>
    <cfRule type="expression" dxfId="156" priority="13" stopIfTrue="1">
      <formula>$C28=1</formula>
    </cfRule>
    <cfRule type="expression" dxfId="155" priority="14" stopIfTrue="1">
      <formula>OR(AND(ISNUMBER($C28),$C28=0),$C28=2,$C28=3,$C28=4)</formula>
    </cfRule>
  </conditionalFormatting>
  <conditionalFormatting sqref="AM28:AN28">
    <cfRule type="expression" dxfId="154" priority="15" stopIfTrue="1">
      <formula>TIPOORCAMENTO="PROPOSTO"</formula>
    </cfRule>
    <cfRule type="expression" dxfId="153" priority="16" stopIfTrue="1">
      <formula>$C28=1</formula>
    </cfRule>
    <cfRule type="expression" dxfId="152" priority="17" stopIfTrue="1">
      <formula>OR(AND(ISNUMBER($C28),$C28=0),$C28=2,$C28=3,$C28=4)</formula>
    </cfRule>
  </conditionalFormatting>
  <dataValidations disablePrompts="1" xWindow="1068" yWindow="723" count="7">
    <dataValidation type="decimal" operator="greaterThan" allowBlank="1" showErrorMessage="1" error="Apenas números decimais maiores que zero." sqref="U14 AL14 AJ14 AJ16:AJ31 U16:U31 AL16:AL31">
      <formula1>0</formula1>
      <formula2>0</formula2>
    </dataValidation>
    <dataValidation type="list" allowBlank="1" sqref="P14 P16:P31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31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31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31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31"/>
    <dataValidation allowBlank="1" showInputMessage="1" showErrorMessage="1" prompt="Para Orçamento Proposto, o Preço Unitário é resultado do produto do Custo Unitário pelo BDI._x000a_Para Orçamento Licitado, deve ser preenchido na Coluna AL." sqref="W14 W16:W31"/>
  </dataValidations>
  <printOptions horizontalCentered="1"/>
  <pageMargins left="0.7" right="0.7" top="0.75" bottom="0.75" header="0.3" footer="0.3"/>
  <pageSetup paperSize="9" scale="70" firstPageNumber="0" fitToHeight="0" orientation="landscape" r:id="rId1"/>
  <headerFooter alignWithMargins="0">
    <oddHeader>&amp;C&amp;14I</oddHeader>
    <oddFooter>&amp;LPMv3.0.4&amp;R&amp;P / &amp;N</oddFooter>
  </headerFooter>
  <rowBreaks count="1" manualBreakCount="1">
    <brk id="36" min="14" max="23" man="1"/>
  </rowBreaks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447675</xdr:colOff>
                    <xdr:row>9</xdr:row>
                    <xdr:rowOff>114300</xdr:rowOff>
                  </from>
                  <to>
                    <xdr:col>19</xdr:col>
                    <xdr:colOff>866775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438150</xdr:colOff>
                    <xdr:row>9</xdr:row>
                    <xdr:rowOff>114300</xdr:rowOff>
                  </from>
                  <to>
                    <xdr:col>20</xdr:col>
                    <xdr:colOff>857250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276225</xdr:colOff>
                    <xdr:row>9</xdr:row>
                    <xdr:rowOff>114300</xdr:rowOff>
                  </from>
                  <to>
                    <xdr:col>21</xdr:col>
                    <xdr:colOff>695325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352425</xdr:colOff>
                    <xdr:row>9</xdr:row>
                    <xdr:rowOff>114300</xdr:rowOff>
                  </from>
                  <to>
                    <xdr:col>22</xdr:col>
                    <xdr:colOff>771525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438150</xdr:colOff>
                    <xdr:row>9</xdr:row>
                    <xdr:rowOff>104775</xdr:rowOff>
                  </from>
                  <to>
                    <xdr:col>23</xdr:col>
                    <xdr:colOff>857250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BG65302"/>
  <sheetViews>
    <sheetView showGridLines="0" view="pageBreakPreview" zoomScale="90" zoomScaleNormal="90" zoomScaleSheetLayoutView="90" workbookViewId="0">
      <pane xSplit="8" ySplit="15" topLeftCell="I16" activePane="bottomRight" state="frozen"/>
      <selection activeCell="C1" sqref="C1"/>
      <selection pane="topRight" activeCell="I1" sqref="I1"/>
      <selection pane="bottomLeft" activeCell="C16" sqref="C16"/>
      <selection pane="bottomRight" activeCell="R12" sqref="R12"/>
    </sheetView>
  </sheetViews>
  <sheetFormatPr defaultRowHeight="0" customHeight="1" zeroHeight="1" x14ac:dyDescent="0.2"/>
  <cols>
    <col min="1" max="2" width="0" style="7" hidden="1" customWidth="1"/>
    <col min="3" max="3" width="3.7109375" style="7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7" hidden="1" customWidth="1"/>
    <col min="14" max="14" width="31.7109375" customWidth="1"/>
    <col min="15" max="15" width="0" hidden="1" customWidth="1"/>
    <col min="16" max="16" width="1.7109375" customWidth="1"/>
    <col min="17" max="26" width="11.7109375" customWidth="1"/>
    <col min="27" max="27" width="0.140625" customWidth="1"/>
    <col min="28" max="59" width="0" hidden="1" customWidth="1"/>
    <col min="60" max="60" width="1.7109375" customWidth="1"/>
  </cols>
  <sheetData>
    <row r="1" spans="1:59" ht="15.75" customHeight="1" x14ac:dyDescent="0.2">
      <c r="F1" s="626" t="str">
        <f>IF(ACOMPANHAMENTO="BM","MEMÓRIA DE CÁLCULO","PLQ - PLANILHA DE LEVANTAMENTO DE QUANTIDADES")</f>
        <v>PLQ - PLANILHA DE LEVANTAMENTO DE QUANTIDADES</v>
      </c>
      <c r="G1" s="626"/>
      <c r="H1" s="626"/>
      <c r="I1" s="147"/>
      <c r="K1" s="147"/>
      <c r="L1" s="147"/>
      <c r="M1" s="148"/>
      <c r="N1" s="147"/>
      <c r="P1" s="147"/>
      <c r="Q1" s="583" t="s">
        <v>141</v>
      </c>
      <c r="R1" s="583"/>
      <c r="Y1" s="583" t="s">
        <v>141</v>
      </c>
      <c r="Z1" s="583"/>
    </row>
    <row r="2" spans="1:59" ht="15" customHeight="1" x14ac:dyDescent="0.2">
      <c r="F2" s="627" t="str">
        <f>IF(ACOMPANHAMENTO="BM","","Memória de Cálculo")&amp;" - "&amp;import.recurso</f>
        <v>Memória de Cálculo - OGU</v>
      </c>
      <c r="G2" s="627"/>
      <c r="H2" s="627"/>
      <c r="I2" s="149"/>
      <c r="K2" s="149"/>
      <c r="L2" s="149"/>
      <c r="M2" s="150"/>
      <c r="N2" s="149"/>
      <c r="P2" s="149"/>
      <c r="Q2" s="584" t="s">
        <v>144</v>
      </c>
      <c r="R2" s="584"/>
      <c r="Y2" s="584" t="s">
        <v>144</v>
      </c>
      <c r="Z2" s="584"/>
    </row>
    <row r="3" spans="1:59" ht="12.75" customHeight="1" x14ac:dyDescent="0.2"/>
    <row r="4" spans="1:59" ht="12.75" customHeight="1" x14ac:dyDescent="0.2">
      <c r="E4" s="585" t="s">
        <v>204</v>
      </c>
      <c r="F4" s="585"/>
      <c r="G4" s="585" t="s">
        <v>148</v>
      </c>
      <c r="H4" s="585"/>
      <c r="I4" s="89" t="s">
        <v>147</v>
      </c>
      <c r="K4" s="151" t="s">
        <v>149</v>
      </c>
      <c r="L4" s="152"/>
      <c r="M4" s="152"/>
      <c r="N4" s="152"/>
      <c r="O4" s="152"/>
      <c r="P4" s="152"/>
      <c r="Q4" s="152"/>
      <c r="R4" s="153"/>
      <c r="S4" s="585" t="s">
        <v>147</v>
      </c>
      <c r="T4" s="585"/>
      <c r="U4" s="585" t="s">
        <v>149</v>
      </c>
      <c r="V4" s="585"/>
      <c r="W4" s="585"/>
      <c r="X4" s="585"/>
      <c r="Y4" s="585"/>
      <c r="Z4" s="585"/>
    </row>
    <row r="5" spans="1:59" ht="12.75" customHeight="1" x14ac:dyDescent="0.2">
      <c r="E5" s="582" t="str">
        <f>Import.Apelido</f>
        <v>Calçamento da Rua Tomé Medeiros</v>
      </c>
      <c r="F5" s="582"/>
      <c r="G5" s="582">
        <f>Import.SICONV</f>
        <v>0</v>
      </c>
      <c r="H5" s="582"/>
      <c r="I5" s="92">
        <f>Import.CR</f>
        <v>0</v>
      </c>
      <c r="K5" s="154" t="str">
        <f>Import.Proponente</f>
        <v>Prefeitura Municipal de Caçapava do Sul</v>
      </c>
      <c r="L5" s="155"/>
      <c r="M5" s="102"/>
      <c r="N5" s="155"/>
      <c r="O5" s="155"/>
      <c r="P5" s="155"/>
      <c r="Q5" s="155"/>
      <c r="R5" s="93"/>
      <c r="S5" s="582">
        <f>Import.CR</f>
        <v>0</v>
      </c>
      <c r="T5" s="582"/>
      <c r="U5" s="582" t="str">
        <f>Import.Proponente</f>
        <v>Prefeitura Municipal de Caçapava do Sul</v>
      </c>
      <c r="V5" s="582"/>
      <c r="W5" s="582"/>
      <c r="X5" s="582"/>
      <c r="Y5" s="582"/>
      <c r="Z5" s="582"/>
    </row>
    <row r="6" spans="1:59" ht="12.75" customHeight="1" x14ac:dyDescent="0.2">
      <c r="AB6" t="s">
        <v>253</v>
      </c>
      <c r="AM6" t="s">
        <v>254</v>
      </c>
      <c r="AX6" t="s">
        <v>255</v>
      </c>
    </row>
    <row r="7" spans="1:59" ht="12.75" hidden="1" customHeight="1" x14ac:dyDescent="0.2"/>
    <row r="8" spans="1:59" ht="12.75" hidden="1" customHeight="1" x14ac:dyDescent="0.2"/>
    <row r="9" spans="1:59" ht="12.75" hidden="1" customHeight="1" x14ac:dyDescent="0.2"/>
    <row r="10" spans="1:59" ht="12.75" hidden="1" customHeight="1" x14ac:dyDescent="0.2"/>
    <row r="11" spans="1:59" ht="12.75" hidden="1" customHeight="1" x14ac:dyDescent="0.2"/>
    <row r="12" spans="1:59" ht="69.95" customHeight="1" x14ac:dyDescent="0.2">
      <c r="A12" s="156" t="str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Manual</v>
      </c>
      <c r="B12" s="7" t="s">
        <v>256</v>
      </c>
      <c r="H12" s="157"/>
      <c r="I12" s="158"/>
      <c r="J12" s="159" t="s">
        <v>257</v>
      </c>
      <c r="K12" s="160" t="s">
        <v>258</v>
      </c>
      <c r="L12" s="159" t="s">
        <v>257</v>
      </c>
      <c r="M12" s="161">
        <f ca="1">IF(ACOMPANHAMENTO="BM",0,COUNTIF(M15:M32,0))</f>
        <v>1</v>
      </c>
      <c r="N12" s="158" t="s">
        <v>259</v>
      </c>
      <c r="O12" s="162"/>
      <c r="P12" s="159" t="s">
        <v>257</v>
      </c>
      <c r="Q12" s="543" t="s">
        <v>443</v>
      </c>
      <c r="R12" s="162" t="s">
        <v>489</v>
      </c>
      <c r="S12" s="162"/>
      <c r="T12" s="162"/>
      <c r="U12" s="162"/>
      <c r="V12" s="162"/>
      <c r="W12" s="162"/>
      <c r="X12" s="162"/>
      <c r="Y12" s="162"/>
      <c r="Z12" s="162"/>
      <c r="AA12" s="159" t="s">
        <v>257</v>
      </c>
      <c r="AB12" s="163" t="str">
        <f ca="1">OFFSET($P$12,0,AB$13)</f>
        <v>SERVIÇOS PRELIMINARES</v>
      </c>
      <c r="AC12" s="164" t="str">
        <f t="shared" ref="AC12:AK12" ca="1" si="0">OFFSET($P$12,0,AC$13)</f>
        <v xml:space="preserve">TRECHO DE INTERVENÇÃO  </v>
      </c>
      <c r="AD12" s="164">
        <f t="shared" ca="1" si="0"/>
        <v>0</v>
      </c>
      <c r="AE12" s="164">
        <f t="shared" ca="1" si="0"/>
        <v>0</v>
      </c>
      <c r="AF12" s="164">
        <f t="shared" ca="1" si="0"/>
        <v>0</v>
      </c>
      <c r="AG12" s="164">
        <f t="shared" ca="1" si="0"/>
        <v>0</v>
      </c>
      <c r="AH12" s="164">
        <f t="shared" ca="1" si="0"/>
        <v>0</v>
      </c>
      <c r="AI12" s="164">
        <f t="shared" ca="1" si="0"/>
        <v>0</v>
      </c>
      <c r="AJ12" s="164">
        <f t="shared" ca="1" si="0"/>
        <v>0</v>
      </c>
      <c r="AK12" s="165">
        <f t="shared" ca="1" si="0"/>
        <v>0</v>
      </c>
      <c r="AM12" s="163" t="str">
        <f ca="1">OFFSET($P$12,0,AM$13)</f>
        <v>SERVIÇOS PRELIMINARES</v>
      </c>
      <c r="AN12" s="164" t="str">
        <f t="shared" ref="AN12:AV12" ca="1" si="1">OFFSET($P$12,0,AN$13)</f>
        <v xml:space="preserve">TRECHO DE INTERVENÇÃO  </v>
      </c>
      <c r="AO12" s="164">
        <f t="shared" ca="1" si="1"/>
        <v>0</v>
      </c>
      <c r="AP12" s="164">
        <f t="shared" ca="1" si="1"/>
        <v>0</v>
      </c>
      <c r="AQ12" s="164">
        <f t="shared" ca="1" si="1"/>
        <v>0</v>
      </c>
      <c r="AR12" s="164">
        <f t="shared" ca="1" si="1"/>
        <v>0</v>
      </c>
      <c r="AS12" s="164">
        <f t="shared" ca="1" si="1"/>
        <v>0</v>
      </c>
      <c r="AT12" s="164">
        <f t="shared" ca="1" si="1"/>
        <v>0</v>
      </c>
      <c r="AU12" s="164">
        <f t="shared" ca="1" si="1"/>
        <v>0</v>
      </c>
      <c r="AV12" s="165">
        <f t="shared" ca="1" si="1"/>
        <v>0</v>
      </c>
      <c r="AX12" s="163" t="str">
        <f ca="1">OFFSET($P$12,0,AX$13)</f>
        <v>SERVIÇOS PRELIMINARES</v>
      </c>
      <c r="AY12" s="164" t="str">
        <f t="shared" ref="AY12:BG12" ca="1" si="2">OFFSET($P$12,0,AY$13)</f>
        <v xml:space="preserve">TRECHO DE INTERVENÇÃO  </v>
      </c>
      <c r="AZ12" s="164">
        <f t="shared" ca="1" si="2"/>
        <v>0</v>
      </c>
      <c r="BA12" s="164">
        <f t="shared" ca="1" si="2"/>
        <v>0</v>
      </c>
      <c r="BB12" s="164">
        <f t="shared" ca="1" si="2"/>
        <v>0</v>
      </c>
      <c r="BC12" s="164">
        <f t="shared" ca="1" si="2"/>
        <v>0</v>
      </c>
      <c r="BD12" s="164">
        <f t="shared" ca="1" si="2"/>
        <v>0</v>
      </c>
      <c r="BE12" s="164">
        <f t="shared" ca="1" si="2"/>
        <v>0</v>
      </c>
      <c r="BF12" s="164">
        <f t="shared" ca="1" si="2"/>
        <v>0</v>
      </c>
      <c r="BG12" s="165">
        <f t="shared" ca="1" si="2"/>
        <v>0</v>
      </c>
    </row>
    <row r="13" spans="1:59" ht="12.75" customHeight="1" x14ac:dyDescent="0.2">
      <c r="A13" s="85" t="s">
        <v>260</v>
      </c>
      <c r="B13" s="7" t="s">
        <v>256</v>
      </c>
      <c r="D13" s="109" t="s">
        <v>231</v>
      </c>
      <c r="E13" s="109" t="s">
        <v>233</v>
      </c>
      <c r="F13" s="109" t="s">
        <v>236</v>
      </c>
      <c r="G13" s="111" t="s">
        <v>237</v>
      </c>
      <c r="H13" s="109" t="s">
        <v>205</v>
      </c>
      <c r="I13" s="109" t="s">
        <v>261</v>
      </c>
      <c r="K13" s="109" t="s">
        <v>262</v>
      </c>
      <c r="L13" s="159"/>
      <c r="M13" s="109" t="s">
        <v>263</v>
      </c>
      <c r="N13" s="109" t="s">
        <v>264</v>
      </c>
      <c r="O13" s="166" t="e">
        <f ca="1">OFFSET(O13,0,-1)+1</f>
        <v>#VALUE!</v>
      </c>
      <c r="Q13" s="167">
        <f t="shared" ref="Q13:Z13" ca="1" si="3">OFFSET(Q13,0,-1)+1</f>
        <v>1</v>
      </c>
      <c r="R13" s="166">
        <f t="shared" ca="1" si="3"/>
        <v>2</v>
      </c>
      <c r="S13" s="166">
        <f t="shared" ca="1" si="3"/>
        <v>3</v>
      </c>
      <c r="T13" s="166">
        <f t="shared" ca="1" si="3"/>
        <v>4</v>
      </c>
      <c r="U13" s="166">
        <f t="shared" ca="1" si="3"/>
        <v>5</v>
      </c>
      <c r="V13" s="166">
        <f t="shared" ca="1" si="3"/>
        <v>6</v>
      </c>
      <c r="W13" s="166">
        <f t="shared" ca="1" si="3"/>
        <v>7</v>
      </c>
      <c r="X13" s="166">
        <f t="shared" ca="1" si="3"/>
        <v>8</v>
      </c>
      <c r="Y13" s="166">
        <f t="shared" ca="1" si="3"/>
        <v>9</v>
      </c>
      <c r="Z13" s="168">
        <f t="shared" ca="1" si="3"/>
        <v>10</v>
      </c>
      <c r="AB13" s="115">
        <f t="shared" ref="AB13:BG13" ca="1" si="4">OFFSET(AB13,0,-1)+1</f>
        <v>1</v>
      </c>
      <c r="AC13" s="169">
        <f t="shared" ca="1" si="4"/>
        <v>2</v>
      </c>
      <c r="AD13" s="169">
        <f t="shared" ca="1" si="4"/>
        <v>3</v>
      </c>
      <c r="AE13" s="169">
        <f t="shared" ca="1" si="4"/>
        <v>4</v>
      </c>
      <c r="AF13" s="169">
        <f t="shared" ca="1" si="4"/>
        <v>5</v>
      </c>
      <c r="AG13" s="169">
        <f t="shared" ca="1" si="4"/>
        <v>6</v>
      </c>
      <c r="AH13" s="169">
        <f t="shared" ca="1" si="4"/>
        <v>7</v>
      </c>
      <c r="AI13" s="169">
        <f t="shared" ca="1" si="4"/>
        <v>8</v>
      </c>
      <c r="AJ13" s="169">
        <f t="shared" ca="1" si="4"/>
        <v>9</v>
      </c>
      <c r="AK13" s="170">
        <f t="shared" ca="1" si="4"/>
        <v>10</v>
      </c>
      <c r="AM13" s="115">
        <f t="shared" ca="1" si="4"/>
        <v>1</v>
      </c>
      <c r="AN13" s="169">
        <f t="shared" ca="1" si="4"/>
        <v>2</v>
      </c>
      <c r="AO13" s="169">
        <f t="shared" ca="1" si="4"/>
        <v>3</v>
      </c>
      <c r="AP13" s="169">
        <f t="shared" ca="1" si="4"/>
        <v>4</v>
      </c>
      <c r="AQ13" s="169">
        <f t="shared" ca="1" si="4"/>
        <v>5</v>
      </c>
      <c r="AR13" s="169">
        <f t="shared" ca="1" si="4"/>
        <v>6</v>
      </c>
      <c r="AS13" s="169">
        <f t="shared" ca="1" si="4"/>
        <v>7</v>
      </c>
      <c r="AT13" s="169">
        <f t="shared" ca="1" si="4"/>
        <v>8</v>
      </c>
      <c r="AU13" s="169">
        <f t="shared" ca="1" si="4"/>
        <v>9</v>
      </c>
      <c r="AV13" s="170">
        <f t="shared" ca="1" si="4"/>
        <v>10</v>
      </c>
      <c r="AX13" s="115">
        <f t="shared" ca="1" si="4"/>
        <v>1</v>
      </c>
      <c r="AY13" s="169">
        <f t="shared" ca="1" si="4"/>
        <v>2</v>
      </c>
      <c r="AZ13" s="169">
        <f t="shared" ca="1" si="4"/>
        <v>3</v>
      </c>
      <c r="BA13" s="169">
        <f t="shared" ca="1" si="4"/>
        <v>4</v>
      </c>
      <c r="BB13" s="169">
        <f t="shared" ca="1" si="4"/>
        <v>5</v>
      </c>
      <c r="BC13" s="169">
        <f t="shared" ca="1" si="4"/>
        <v>6</v>
      </c>
      <c r="BD13" s="169">
        <f t="shared" ca="1" si="4"/>
        <v>7</v>
      </c>
      <c r="BE13" s="169">
        <f t="shared" ca="1" si="4"/>
        <v>8</v>
      </c>
      <c r="BF13" s="169">
        <f t="shared" ca="1" si="4"/>
        <v>9</v>
      </c>
      <c r="BG13" s="170">
        <f t="shared" ca="1" si="4"/>
        <v>10</v>
      </c>
    </row>
    <row r="14" spans="1:59" ht="12.75" hidden="1" x14ac:dyDescent="0.2">
      <c r="A14" s="7">
        <f ca="1">IF(AUTOEVENTO="Manual",IF(K14&lt;&gt;"",MIN(VALUE(LEFT(K14,FIND(".",K14)-1)),COUNTA(EVENTOS.Lista)),0),IF(OR($B14&gt;AUTOEVENTO,$B14="S",$B14=0),SUBSTITUTE(OFFSET($A14,-1,0),IF($D14="Serviço",".",""),""),ROW(A14)-ROW($A$15)&amp;"."))</f>
        <v>0</v>
      </c>
      <c r="B14" s="7" t="str">
        <f ca="1">OFFSET(ORÇAMENTO!C$15,ROW(B14)-ROW(B$15),0)</f>
        <v>S</v>
      </c>
      <c r="C14" s="7" t="str">
        <f ca="1">OFFSET(ORÇAMENTO!L$15,ROW(C14)-ROW(C$15),0)</f>
        <v/>
      </c>
      <c r="D14" s="118" t="str">
        <f ca="1">OFFSET(ORÇAMENTO!N$15,ROW(D14)-ROW(D$15),0)</f>
        <v>Serviço</v>
      </c>
      <c r="E14" s="119" t="str">
        <f ca="1">OFFSET(ORÇAMENTO!O$15,ROW(E14)-ROW(E$15),0)</f>
        <v>-</v>
      </c>
      <c r="F14" s="171" t="str">
        <f ca="1">OFFSET(ORÇAMENTO!R$15,ROW(F14)-ROW(F$15),0)</f>
        <v>(abra o arquivo 'Referência 04-2024.xls)</v>
      </c>
      <c r="G14" s="172" t="str">
        <f ca="1">IF($D14&lt;&gt;"Serviço","",OFFSET(ORÇAMENTO!S$15,ROW(G14)-ROW(G$15),0))</f>
        <v>-</v>
      </c>
      <c r="H14" s="124">
        <f ca="1">IF($D14&lt;&gt;"Serviço",0,IF(ACOMPANHAMENTO="BM",ROUND(OFFSET(ORÇAMENTO!AJ$15,ROW(H14)-ROW(H$15),0),15-13*ORÇAMENTO!$AF$7),SUMPRODUCT(($Q$12:$AA$12&lt;&gt;"")*ROUND($Q14:$AA14,15-13*ORÇAMENTO!$AF$7))))</f>
        <v>0</v>
      </c>
      <c r="I14" s="561"/>
      <c r="K14" s="173"/>
      <c r="L14" s="174" t="s">
        <v>257</v>
      </c>
      <c r="M14" s="175">
        <f ca="1">IF($D14&lt;&gt;"Serviço","",IF(AUTOEVENTO="manual",$A14,IF(ISERROR(MATCH($A14,$A$15:OFFSET($A14,-1,0),0)),MAX($M$15:OFFSET(M14,-1,0))+1,INDEX($M$15:OFFSET(M14,-1,0),MATCH($A14,$A$15:OFFSET($A14,-1,0),0)))))</f>
        <v>0</v>
      </c>
      <c r="N14" s="176" t="str">
        <f ca="1">IF($D14&lt;&gt;"Serviço","",IF(AUTOEVENTO="Manual",IF($A14=0,"&lt;-- defina o número do agrupador",OFFSET(EVENTOS!$D$14,$A14,0)),OFFSET($F$15,$A14,0)))</f>
        <v>&lt;-- defina o número do agrupador</v>
      </c>
      <c r="O14" s="177"/>
      <c r="Q14" s="177"/>
      <c r="R14" s="178"/>
      <c r="S14" s="178"/>
      <c r="T14" s="178"/>
      <c r="U14" s="178"/>
      <c r="V14" s="178"/>
      <c r="W14" s="178"/>
      <c r="X14" s="178"/>
      <c r="Y14" s="178"/>
      <c r="Z14" s="179"/>
      <c r="AB14" s="544">
        <f ca="1">IF(AND($D14="Serviço",AB$12&lt;&gt;0,$H14&gt;0,OR(AUTOEVENTO&lt;&gt;"manual",$M14&lt;&gt;1)),ROUND(OFFSET($P14,0,AB$13),15-13*ORÇAMENTO!$AF$7)/$H14*OFFSET(ORÇAMENTO!$X$15,ROW(AB14)-ROW(AB$15),0),0)</f>
        <v>0</v>
      </c>
      <c r="AC14" s="545">
        <f ca="1">IF(AND($D14="Serviço",AC$12&lt;&gt;0,$H14&gt;0,OR(AUTOEVENTO&lt;&gt;"manual",$M14&lt;&gt;1)),ROUND(OFFSET($P14,0,AC$13),15-13*ORÇAMENTO!$AF$7)/$H14*OFFSET(ORÇAMENTO!$X$15,ROW(AC14)-ROW(AC$15),0),0)</f>
        <v>0</v>
      </c>
      <c r="AD14" s="545">
        <f ca="1">IF(AND($D14="Serviço",AD$12&lt;&gt;0,$H14&gt;0,OR(AUTOEVENTO&lt;&gt;"manual",$M14&lt;&gt;1)),ROUND(OFFSET($P14,0,AD$13),15-13*ORÇAMENTO!$AF$7)/$H14*OFFSET(ORÇAMENTO!$X$15,ROW(AD14)-ROW(AD$15),0),0)</f>
        <v>0</v>
      </c>
      <c r="AE14" s="545">
        <f ca="1">IF(AND($D14="Serviço",AE$12&lt;&gt;0,$H14&gt;0,OR(AUTOEVENTO&lt;&gt;"manual",$M14&lt;&gt;1)),ROUND(OFFSET($P14,0,AE$13),15-13*ORÇAMENTO!$AF$7)/$H14*OFFSET(ORÇAMENTO!$X$15,ROW(AE14)-ROW(AE$15),0),0)</f>
        <v>0</v>
      </c>
      <c r="AF14" s="545">
        <f ca="1">IF(AND($D14="Serviço",AF$12&lt;&gt;0,$H14&gt;0,OR(AUTOEVENTO&lt;&gt;"manual",$M14&lt;&gt;1)),ROUND(OFFSET($P14,0,AF$13),15-13*ORÇAMENTO!$AF$7)/$H14*OFFSET(ORÇAMENTO!$X$15,ROW(AF14)-ROW(AF$15),0),0)</f>
        <v>0</v>
      </c>
      <c r="AG14" s="545">
        <f ca="1">IF(AND($D14="Serviço",AG$12&lt;&gt;0,$H14&gt;0,OR(AUTOEVENTO&lt;&gt;"manual",$M14&lt;&gt;1)),ROUND(OFFSET($P14,0,AG$13),15-13*ORÇAMENTO!$AF$7)/$H14*OFFSET(ORÇAMENTO!$X$15,ROW(AG14)-ROW(AG$15),0),0)</f>
        <v>0</v>
      </c>
      <c r="AH14" s="545">
        <f ca="1">IF(AND($D14="Serviço",AH$12&lt;&gt;0,$H14&gt;0,OR(AUTOEVENTO&lt;&gt;"manual",$M14&lt;&gt;1)),ROUND(OFFSET($P14,0,AH$13),15-13*ORÇAMENTO!$AF$7)/$H14*OFFSET(ORÇAMENTO!$X$15,ROW(AH14)-ROW(AH$15),0),0)</f>
        <v>0</v>
      </c>
      <c r="AI14" s="545">
        <f ca="1">IF(AND($D14="Serviço",AI$12&lt;&gt;0,$H14&gt;0,OR(AUTOEVENTO&lt;&gt;"manual",$M14&lt;&gt;1)),ROUND(OFFSET($P14,0,AI$13),15-13*ORÇAMENTO!$AF$7)/$H14*OFFSET(ORÇAMENTO!$X$15,ROW(AI14)-ROW(AI$15),0),0)</f>
        <v>0</v>
      </c>
      <c r="AJ14" s="545">
        <f ca="1">IF(AND($D14="Serviço",AJ$12&lt;&gt;0,$H14&gt;0,OR(AUTOEVENTO&lt;&gt;"manual",$M14&lt;&gt;1)),ROUND(OFFSET($P14,0,AJ$13),15-13*ORÇAMENTO!$AF$7)/$H14*OFFSET(ORÇAMENTO!$X$15,ROW(AJ14)-ROW(AJ$15),0),0)</f>
        <v>0</v>
      </c>
      <c r="AK14" s="546">
        <f ca="1">IF(AND($D14="Serviço",AK$12&lt;&gt;0,$H14&gt;0,OR(AUTOEVENTO&lt;&gt;"manual",$M14&lt;&gt;1)),ROUND(OFFSET($P14,0,AK$13),15-13*ORÇAMENTO!$AF$7)/$H14*OFFSET(ORÇAMENTO!$X$15,ROW(AK14)-ROW(AK$15),0),0)</f>
        <v>0</v>
      </c>
      <c r="AM14" s="180">
        <f ca="1">IF($D14&lt;&gt;"Serviço",0,IF(AND(AUTOEVENTO="Manual",$M14=1),0,IF(OFFSET(CRONOPLE!$F$14,$M14,AM$13)="",10^12,OFFSET(CRONOPLE!$F$14,$M14,AM$13))))</f>
        <v>1000000000000</v>
      </c>
      <c r="AN14" s="180">
        <f ca="1">IF($D14&lt;&gt;"Serviço",0,IF(AND(AUTOEVENTO="Manual",$M14=1),0,IF(OFFSET(CRONOPLE!$F$14,$M14,AN$13)="",10^12,OFFSET(CRONOPLE!$F$14,$M14,AN$13))))</f>
        <v>1000000000000</v>
      </c>
      <c r="AO14" s="180">
        <f ca="1">IF($D14&lt;&gt;"Serviço",0,IF(AND(AUTOEVENTO="Manual",$M14=1),0,IF(OFFSET(CRONOPLE!$F$14,$M14,AO$13)="",10^12,OFFSET(CRONOPLE!$F$14,$M14,AO$13))))</f>
        <v>1000000000000</v>
      </c>
      <c r="AP14" s="180">
        <f ca="1">IF($D14&lt;&gt;"Serviço",0,IF(AND(AUTOEVENTO="Manual",$M14=1),0,IF(OFFSET(CRONOPLE!$F$14,$M14,AP$13)="",10^12,OFFSET(CRONOPLE!$F$14,$M14,AP$13))))</f>
        <v>1000000000000</v>
      </c>
      <c r="AQ14" s="180">
        <f ca="1">IF($D14&lt;&gt;"Serviço",0,IF(AND(AUTOEVENTO="Manual",$M14=1),0,IF(OFFSET(CRONOPLE!$F$14,$M14,AQ$13)="",10^12,OFFSET(CRONOPLE!$F$14,$M14,AQ$13))))</f>
        <v>1000000000000</v>
      </c>
      <c r="AR14" s="180">
        <f ca="1">IF($D14&lt;&gt;"Serviço",0,IF(AND(AUTOEVENTO="Manual",$M14=1),0,IF(OFFSET(CRONOPLE!$F$14,$M14,AR$13)="",10^12,OFFSET(CRONOPLE!$F$14,$M14,AR$13))))</f>
        <v>1000000000000</v>
      </c>
      <c r="AS14" s="180">
        <f ca="1">IF($D14&lt;&gt;"Serviço",0,IF(AND(AUTOEVENTO="Manual",$M14=1),0,IF(OFFSET(CRONOPLE!$F$14,$M14,AS$13)="",10^12,OFFSET(CRONOPLE!$F$14,$M14,AS$13))))</f>
        <v>1000000000000</v>
      </c>
      <c r="AT14" s="180">
        <f ca="1">IF($D14&lt;&gt;"Serviço",0,IF(AND(AUTOEVENTO="Manual",$M14=1),0,IF(OFFSET(CRONOPLE!$F$14,$M14,AT$13)="",10^12,OFFSET(CRONOPLE!$F$14,$M14,AT$13))))</f>
        <v>1000000000000</v>
      </c>
      <c r="AU14" s="180">
        <f ca="1">IF($D14&lt;&gt;"Serviço",0,IF(AND(AUTOEVENTO="Manual",$M14=1),0,IF(OFFSET(CRONOPLE!$F$14,$M14,AU$13)="",10^12,OFFSET(CRONOPLE!$F$14,$M14,AU$13))))</f>
        <v>1000000000000</v>
      </c>
      <c r="AV14" s="180">
        <f ca="1">IF($D14&lt;&gt;"Serviço",0,IF(AND(AUTOEVENTO="Manual",$M14=1),0,IF(OFFSET(CRONOPLE!$F$14,$M14,AV$13)="",10^12,OFFSET(CRONOPLE!$F$14,$M14,AV$13))))</f>
        <v>1000000000000</v>
      </c>
      <c r="AX14" s="181">
        <f ca="1">IF($D14&lt;&gt;"Serviço",0,IF(OR(AND(AUTOEVENTO="Manual",$M14=1),$M14&gt;(ROW(PLE.lastrow)-ROW(PLE.firstrow))),0,IF(OFFSET(PLE!$G$14,$M14,AX$13)="",10^12,OFFSET(PLE!$G$14,$M14,AX$13))))</f>
        <v>1000000000000</v>
      </c>
      <c r="AY14" s="181">
        <f ca="1">IF($D14&lt;&gt;"Serviço",0,IF(OR(AND(AUTOEVENTO="Manual",$M14=1),$M14&gt;(ROW(PLE.lastrow)-ROW(PLE.firstrow))),0,IF(OFFSET(PLE!$G$14,$M14,AY$13)="",10^12,OFFSET(PLE!$G$14,$M14,AY$13))))</f>
        <v>1000000000000</v>
      </c>
      <c r="AZ14" s="181">
        <f ca="1">IF($D14&lt;&gt;"Serviço",0,IF(OR(AND(AUTOEVENTO="Manual",$M14=1),$M14&gt;(ROW(PLE.lastrow)-ROW(PLE.firstrow))),0,IF(OFFSET(PLE!$G$14,$M14,AZ$13)="",10^12,OFFSET(PLE!$G$14,$M14,AZ$13))))</f>
        <v>1000000000000</v>
      </c>
      <c r="BA14" s="181">
        <f ca="1">IF($D14&lt;&gt;"Serviço",0,IF(OR(AND(AUTOEVENTO="Manual",$M14=1),$M14&gt;(ROW(PLE.lastrow)-ROW(PLE.firstrow))),0,IF(OFFSET(PLE!$G$14,$M14,BA$13)="",10^12,OFFSET(PLE!$G$14,$M14,BA$13))))</f>
        <v>1000000000000</v>
      </c>
      <c r="BB14" s="181">
        <f ca="1">IF($D14&lt;&gt;"Serviço",0,IF(OR(AND(AUTOEVENTO="Manual",$M14=1),$M14&gt;(ROW(PLE.lastrow)-ROW(PLE.firstrow))),0,IF(OFFSET(PLE!$G$14,$M14,BB$13)="",10^12,OFFSET(PLE!$G$14,$M14,BB$13))))</f>
        <v>1000000000000</v>
      </c>
      <c r="BC14" s="181">
        <f ca="1">IF($D14&lt;&gt;"Serviço",0,IF(OR(AND(AUTOEVENTO="Manual",$M14=1),$M14&gt;(ROW(PLE.lastrow)-ROW(PLE.firstrow))),0,IF(OFFSET(PLE!$G$14,$M14,BC$13)="",10^12,OFFSET(PLE!$G$14,$M14,BC$13))))</f>
        <v>1000000000000</v>
      </c>
      <c r="BD14" s="181">
        <f ca="1">IF($D14&lt;&gt;"Serviço",0,IF(OR(AND(AUTOEVENTO="Manual",$M14=1),$M14&gt;(ROW(PLE.lastrow)-ROW(PLE.firstrow))),0,IF(OFFSET(PLE!$G$14,$M14,BD$13)="",10^12,OFFSET(PLE!$G$14,$M14,BD$13))))</f>
        <v>1000000000000</v>
      </c>
      <c r="BE14" s="181">
        <f ca="1">IF($D14&lt;&gt;"Serviço",0,IF(OR(AND(AUTOEVENTO="Manual",$M14=1),$M14&gt;(ROW(PLE.lastrow)-ROW(PLE.firstrow))),0,IF(OFFSET(PLE!$G$14,$M14,BE$13)="",10^12,OFFSET(PLE!$G$14,$M14,BE$13))))</f>
        <v>1000000000000</v>
      </c>
      <c r="BF14" s="181">
        <f ca="1">IF($D14&lt;&gt;"Serviço",0,IF(OR(AND(AUTOEVENTO="Manual",$M14=1),$M14&gt;(ROW(PLE.lastrow)-ROW(PLE.firstrow))),0,IF(OFFSET(PLE!$G$14,$M14,BF$13)="",10^12,OFFSET(PLE!$G$14,$M14,BF$13))))</f>
        <v>1000000000000</v>
      </c>
      <c r="BG14" s="181">
        <f ca="1">IF($D14&lt;&gt;"Serviço",0,IF(OR(AND(AUTOEVENTO="Manual",$M14=1),$M14&gt;(ROW(PLE.lastrow)-ROW(PLE.firstrow))),0,IF(OFFSET(PLE!$G$14,$M14,BG$13)="",10^12,OFFSET(PLE!$G$14,$M14,BG$13))))</f>
        <v>1000000000000</v>
      </c>
    </row>
    <row r="15" spans="1:59" ht="12.75" customHeight="1" x14ac:dyDescent="0.2">
      <c r="B15" s="7" t="str">
        <f ca="1">OFFSET(ORÇAMENTO!C$15,ROW(B15)-ROW(B$15),0)</f>
        <v>L</v>
      </c>
      <c r="C15" s="7" t="str">
        <f ca="1">OFFSET(ORÇAMENTO!L$15,ROW(C15)-ROW(C$15),0)</f>
        <v>F</v>
      </c>
      <c r="D15" s="132" t="str">
        <f>IF(TIPOORCAMENTO="LICITADO","CTEF","LOTE")</f>
        <v>LOTE</v>
      </c>
      <c r="E15" s="628" t="str">
        <f>Import.DescLote</f>
        <v>Lote Único - Empreitada Preço Global</v>
      </c>
      <c r="F15" s="628"/>
      <c r="G15" s="628"/>
      <c r="H15" s="628"/>
      <c r="I15" s="562"/>
      <c r="K15" s="182"/>
      <c r="L15" s="174" t="s">
        <v>257</v>
      </c>
      <c r="M15" s="183">
        <f ca="1">IF(AUTOEVENTO="MANUAL",0,1)</f>
        <v>0</v>
      </c>
      <c r="N15" s="184" t="s">
        <v>265</v>
      </c>
      <c r="O15" s="185" t="e">
        <f ca="1">OFFSET($AA$15,0,O$13)</f>
        <v>#VALUE!</v>
      </c>
      <c r="Q15" s="186">
        <f t="shared" ref="Q15:Z15" ca="1" si="5">OFFSET($AA$15,0,Q$13)</f>
        <v>0</v>
      </c>
      <c r="R15" s="185">
        <f t="shared" ca="1" si="5"/>
        <v>0</v>
      </c>
      <c r="S15" s="185">
        <f t="shared" ca="1" si="5"/>
        <v>0</v>
      </c>
      <c r="T15" s="185">
        <f t="shared" ca="1" si="5"/>
        <v>0</v>
      </c>
      <c r="U15" s="185">
        <f t="shared" ca="1" si="5"/>
        <v>0</v>
      </c>
      <c r="V15" s="185">
        <f t="shared" ca="1" si="5"/>
        <v>0</v>
      </c>
      <c r="W15" s="185">
        <f t="shared" ca="1" si="5"/>
        <v>0</v>
      </c>
      <c r="X15" s="185">
        <f t="shared" ca="1" si="5"/>
        <v>0</v>
      </c>
      <c r="Y15" s="185">
        <f t="shared" ca="1" si="5"/>
        <v>0</v>
      </c>
      <c r="Z15" s="187">
        <f t="shared" ca="1" si="5"/>
        <v>0</v>
      </c>
      <c r="AB15" s="188">
        <f ca="1">ROUND(SUM(OFFSET(AB$15,1,0):AB$32),2)</f>
        <v>0</v>
      </c>
      <c r="AC15" s="188">
        <f ca="1">SUM(OFFSET(AC$15,1,0):AC$32)</f>
        <v>0</v>
      </c>
      <c r="AD15" s="188">
        <f ca="1">SUM(OFFSET(AD$15,1,0):AD$32)</f>
        <v>0</v>
      </c>
      <c r="AE15" s="188">
        <f ca="1">SUM(OFFSET(AE$15,1,0):AE$32)</f>
        <v>0</v>
      </c>
      <c r="AF15" s="188">
        <f ca="1">SUM(OFFSET(AF$15,1,0):AF$32)</f>
        <v>0</v>
      </c>
      <c r="AG15" s="188">
        <f ca="1">SUM(OFFSET(AG$15,1,0):AG$32)</f>
        <v>0</v>
      </c>
      <c r="AH15" s="188">
        <f ca="1">SUM(OFFSET(AH$15,1,0):AH$32)</f>
        <v>0</v>
      </c>
      <c r="AI15" s="188">
        <f ca="1">SUM(OFFSET(AI$15,1,0):AI$32)</f>
        <v>0</v>
      </c>
      <c r="AJ15" s="188">
        <f ca="1">SUM(OFFSET(AJ$15,1,0):AJ$32)</f>
        <v>0</v>
      </c>
      <c r="AK15" s="188">
        <f ca="1">SUM(OFFSET(AK$15,1,0):AK$32)</f>
        <v>0</v>
      </c>
      <c r="AM15" s="189">
        <f>10^12</f>
        <v>1000000000000</v>
      </c>
      <c r="AN15" s="189">
        <f t="shared" ref="AN15:AV15" si="6">10^12</f>
        <v>1000000000000</v>
      </c>
      <c r="AO15" s="189">
        <f t="shared" si="6"/>
        <v>1000000000000</v>
      </c>
      <c r="AP15" s="189">
        <f t="shared" si="6"/>
        <v>1000000000000</v>
      </c>
      <c r="AQ15" s="189">
        <f t="shared" si="6"/>
        <v>1000000000000</v>
      </c>
      <c r="AR15" s="189">
        <f t="shared" si="6"/>
        <v>1000000000000</v>
      </c>
      <c r="AS15" s="189">
        <f t="shared" si="6"/>
        <v>1000000000000</v>
      </c>
      <c r="AT15" s="189">
        <f t="shared" si="6"/>
        <v>1000000000000</v>
      </c>
      <c r="AU15" s="189">
        <f t="shared" si="6"/>
        <v>1000000000000</v>
      </c>
      <c r="AV15" s="189">
        <f t="shared" si="6"/>
        <v>1000000000000</v>
      </c>
      <c r="AX15" s="189">
        <f t="shared" ref="AX15:BG15" si="7">10^12</f>
        <v>1000000000000</v>
      </c>
      <c r="AY15" s="189">
        <f t="shared" si="7"/>
        <v>1000000000000</v>
      </c>
      <c r="AZ15" s="189">
        <f t="shared" si="7"/>
        <v>1000000000000</v>
      </c>
      <c r="BA15" s="189">
        <f t="shared" si="7"/>
        <v>1000000000000</v>
      </c>
      <c r="BB15" s="189">
        <f t="shared" si="7"/>
        <v>1000000000000</v>
      </c>
      <c r="BC15" s="189">
        <f t="shared" si="7"/>
        <v>1000000000000</v>
      </c>
      <c r="BD15" s="189">
        <f t="shared" si="7"/>
        <v>1000000000000</v>
      </c>
      <c r="BE15" s="189">
        <f t="shared" si="7"/>
        <v>1000000000000</v>
      </c>
      <c r="BF15" s="189">
        <f t="shared" si="7"/>
        <v>1000000000000</v>
      </c>
      <c r="BG15" s="189">
        <f t="shared" si="7"/>
        <v>1000000000000</v>
      </c>
    </row>
    <row r="16" spans="1:59" ht="12.75" x14ac:dyDescent="0.2">
      <c r="A16" s="7">
        <f t="shared" ref="A16:A27" ca="1" si="8">IF(AUTOEVENTO="Manual",IF(K16&lt;&gt;"",MIN(VALUE(LEFT(K16,FIND(".",K16)-1)),COUNTA(EVENTOS.Lista)),0),IF(OR($B16&gt;AUTOEVENTO,$B16="S",$B16=0),SUBSTITUTE(OFFSET($A16,-1,0),IF($D16="Serviço",".",""),""),ROW(A16)-ROW($A$15)&amp;"."))</f>
        <v>1</v>
      </c>
      <c r="B16" s="7">
        <f ca="1">OFFSET(ORÇAMENTO!C$15,ROW(B16)-ROW(B$15),0)</f>
        <v>1</v>
      </c>
      <c r="C16" s="7" t="str">
        <f ca="1">OFFSET(ORÇAMENTO!L$15,ROW(C16)-ROW(C$15),0)</f>
        <v>F</v>
      </c>
      <c r="D16" s="118" t="str">
        <f ca="1">OFFSET(ORÇAMENTO!N$15,ROW(D16)-ROW(D$15),0)</f>
        <v>Meta</v>
      </c>
      <c r="E16" s="119" t="str">
        <f ca="1">OFFSET(ORÇAMENTO!O$15,ROW(E16)-ROW(E$15),0)</f>
        <v>1.</v>
      </c>
      <c r="F16" s="171" t="str">
        <f ca="1">OFFSET(ORÇAMENTO!R$15,ROW(F16)-ROW(F$15),0)</f>
        <v>CALÇAMENTO RUA TOMÉ MEDEIROS</v>
      </c>
      <c r="G16" s="172" t="str">
        <f ca="1">IF($D16&lt;&gt;"Serviço","",OFFSET(ORÇAMENTO!S$15,ROW(G16)-ROW(G$15),0))</f>
        <v/>
      </c>
      <c r="H16" s="124">
        <f ca="1">IF($D16&lt;&gt;"Serviço",0,IF(ACOMPANHAMENTO="BM",ROUND(OFFSET(ORÇAMENTO!AJ$15,ROW(H16)-ROW(H$15),0),15-13*ORÇAMENTO!$AF$7),SUMPRODUCT(($Q$12:$AA$12&lt;&gt;"")*ROUND($Q16:$AA16,15-13*ORÇAMENTO!$AF$7))))</f>
        <v>0</v>
      </c>
      <c r="I16" s="561"/>
      <c r="K16" s="173" t="s">
        <v>468</v>
      </c>
      <c r="L16" s="174" t="s">
        <v>257</v>
      </c>
      <c r="M16" s="175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176" t="str">
        <f ca="1">IF($D16&lt;&gt;"Serviço","",IF(AUTOEVENTO="Manual",IF($A16=0,"&lt;-- defina o número do agrupador",OFFSET(EVENTOS!$D$14,$A16,0)),OFFSET($F$15,$A16,0)))</f>
        <v/>
      </c>
      <c r="O16" s="177"/>
      <c r="Q16" s="177"/>
      <c r="R16" s="178"/>
      <c r="S16" s="178"/>
      <c r="T16" s="178"/>
      <c r="U16" s="178"/>
      <c r="V16" s="178"/>
      <c r="W16" s="178"/>
      <c r="X16" s="178"/>
      <c r="Y16" s="178"/>
      <c r="Z16" s="179"/>
      <c r="AB16" s="544">
        <f ca="1">IF(AND($D16="Serviço",AB$12&lt;&gt;0,$H16&gt;0,OR(AUTOEVENTO&lt;&gt;"manual",$M16&lt;&gt;1)),ROUND(OFFSET($P16,0,AB$13),15-13*ORÇAMENTO!$AF$7)/$H16*OFFSET(ORÇAMENTO!$X$15,ROW(AB16)-ROW(AB$15),0),0)</f>
        <v>0</v>
      </c>
      <c r="AC16" s="545">
        <f ca="1">IF(AND($D16="Serviço",AC$12&lt;&gt;0,$H16&gt;0,OR(AUTOEVENTO&lt;&gt;"manual",$M16&lt;&gt;1)),ROUND(OFFSET($P16,0,AC$13),15-13*ORÇAMENTO!$AF$7)/$H16*OFFSET(ORÇAMENTO!$X$15,ROW(AC16)-ROW(AC$15),0),0)</f>
        <v>0</v>
      </c>
      <c r="AD16" s="545">
        <f ca="1">IF(AND($D16="Serviço",AD$12&lt;&gt;0,$H16&gt;0,OR(AUTOEVENTO&lt;&gt;"manual",$M16&lt;&gt;1)),ROUND(OFFSET($P16,0,AD$13),15-13*ORÇAMENTO!$AF$7)/$H16*OFFSET(ORÇAMENTO!$X$15,ROW(AD16)-ROW(AD$15),0),0)</f>
        <v>0</v>
      </c>
      <c r="AE16" s="545">
        <f ca="1">IF(AND($D16="Serviço",AE$12&lt;&gt;0,$H16&gt;0,OR(AUTOEVENTO&lt;&gt;"manual",$M16&lt;&gt;1)),ROUND(OFFSET($P16,0,AE$13),15-13*ORÇAMENTO!$AF$7)/$H16*OFFSET(ORÇAMENTO!$X$15,ROW(AE16)-ROW(AE$15),0),0)</f>
        <v>0</v>
      </c>
      <c r="AF16" s="545">
        <f ca="1">IF(AND($D16="Serviço",AF$12&lt;&gt;0,$H16&gt;0,OR(AUTOEVENTO&lt;&gt;"manual",$M16&lt;&gt;1)),ROUND(OFFSET($P16,0,AF$13),15-13*ORÇAMENTO!$AF$7)/$H16*OFFSET(ORÇAMENTO!$X$15,ROW(AF16)-ROW(AF$15),0),0)</f>
        <v>0</v>
      </c>
      <c r="AG16" s="545">
        <f ca="1">IF(AND($D16="Serviço",AG$12&lt;&gt;0,$H16&gt;0,OR(AUTOEVENTO&lt;&gt;"manual",$M16&lt;&gt;1)),ROUND(OFFSET($P16,0,AG$13),15-13*ORÇAMENTO!$AF$7)/$H16*OFFSET(ORÇAMENTO!$X$15,ROW(AG16)-ROW(AG$15),0),0)</f>
        <v>0</v>
      </c>
      <c r="AH16" s="545">
        <f ca="1">IF(AND($D16="Serviço",AH$12&lt;&gt;0,$H16&gt;0,OR(AUTOEVENTO&lt;&gt;"manual",$M16&lt;&gt;1)),ROUND(OFFSET($P16,0,AH$13),15-13*ORÇAMENTO!$AF$7)/$H16*OFFSET(ORÇAMENTO!$X$15,ROW(AH16)-ROW(AH$15),0),0)</f>
        <v>0</v>
      </c>
      <c r="AI16" s="545">
        <f ca="1">IF(AND($D16="Serviço",AI$12&lt;&gt;0,$H16&gt;0,OR(AUTOEVENTO&lt;&gt;"manual",$M16&lt;&gt;1)),ROUND(OFFSET($P16,0,AI$13),15-13*ORÇAMENTO!$AF$7)/$H16*OFFSET(ORÇAMENTO!$X$15,ROW(AI16)-ROW(AI$15),0),0)</f>
        <v>0</v>
      </c>
      <c r="AJ16" s="545">
        <f ca="1">IF(AND($D16="Serviço",AJ$12&lt;&gt;0,$H16&gt;0,OR(AUTOEVENTO&lt;&gt;"manual",$M16&lt;&gt;1)),ROUND(OFFSET($P16,0,AJ$13),15-13*ORÇAMENTO!$AF$7)/$H16*OFFSET(ORÇAMENTO!$X$15,ROW(AJ16)-ROW(AJ$15),0),0)</f>
        <v>0</v>
      </c>
      <c r="AK16" s="546">
        <f ca="1">IF(AND($D16="Serviço",AK$12&lt;&gt;0,$H16&gt;0,OR(AUTOEVENTO&lt;&gt;"manual",$M16&lt;&gt;1)),ROUND(OFFSET($P16,0,AK$13),15-13*ORÇAMENTO!$AF$7)/$H16*OFFSET(ORÇAMENTO!$X$15,ROW(AK16)-ROW(AK$15),0),0)</f>
        <v>0</v>
      </c>
      <c r="AM16" s="180">
        <f ca="1">IF($D16&lt;&gt;"Serviço",0,IF(AND(AUTOEVENTO="Manual",$M16=1),0,IF(OFFSET(CRONOPLE!$F$14,$M16,AM$13)="",10^12,OFFSET(CRONOPLE!$F$14,$M16,AM$13))))</f>
        <v>0</v>
      </c>
      <c r="AN16" s="180">
        <f ca="1">IF($D16&lt;&gt;"Serviço",0,IF(AND(AUTOEVENTO="Manual",$M16=1),0,IF(OFFSET(CRONOPLE!$F$14,$M16,AN$13)="",10^12,OFFSET(CRONOPLE!$F$14,$M16,AN$13))))</f>
        <v>0</v>
      </c>
      <c r="AO16" s="180">
        <f ca="1">IF($D16&lt;&gt;"Serviço",0,IF(AND(AUTOEVENTO="Manual",$M16=1),0,IF(OFFSET(CRONOPLE!$F$14,$M16,AO$13)="",10^12,OFFSET(CRONOPLE!$F$14,$M16,AO$13))))</f>
        <v>0</v>
      </c>
      <c r="AP16" s="180">
        <f ca="1">IF($D16&lt;&gt;"Serviço",0,IF(AND(AUTOEVENTO="Manual",$M16=1),0,IF(OFFSET(CRONOPLE!$F$14,$M16,AP$13)="",10^12,OFFSET(CRONOPLE!$F$14,$M16,AP$13))))</f>
        <v>0</v>
      </c>
      <c r="AQ16" s="180">
        <f ca="1">IF($D16&lt;&gt;"Serviço",0,IF(AND(AUTOEVENTO="Manual",$M16=1),0,IF(OFFSET(CRONOPLE!$F$14,$M16,AQ$13)="",10^12,OFFSET(CRONOPLE!$F$14,$M16,AQ$13))))</f>
        <v>0</v>
      </c>
      <c r="AR16" s="180">
        <f ca="1">IF($D16&lt;&gt;"Serviço",0,IF(AND(AUTOEVENTO="Manual",$M16=1),0,IF(OFFSET(CRONOPLE!$F$14,$M16,AR$13)="",10^12,OFFSET(CRONOPLE!$F$14,$M16,AR$13))))</f>
        <v>0</v>
      </c>
      <c r="AS16" s="180">
        <f ca="1">IF($D16&lt;&gt;"Serviço",0,IF(AND(AUTOEVENTO="Manual",$M16=1),0,IF(OFFSET(CRONOPLE!$F$14,$M16,AS$13)="",10^12,OFFSET(CRONOPLE!$F$14,$M16,AS$13))))</f>
        <v>0</v>
      </c>
      <c r="AT16" s="180">
        <f ca="1">IF($D16&lt;&gt;"Serviço",0,IF(AND(AUTOEVENTO="Manual",$M16=1),0,IF(OFFSET(CRONOPLE!$F$14,$M16,AT$13)="",10^12,OFFSET(CRONOPLE!$F$14,$M16,AT$13))))</f>
        <v>0</v>
      </c>
      <c r="AU16" s="180">
        <f ca="1">IF($D16&lt;&gt;"Serviço",0,IF(AND(AUTOEVENTO="Manual",$M16=1),0,IF(OFFSET(CRONOPLE!$F$14,$M16,AU$13)="",10^12,OFFSET(CRONOPLE!$F$14,$M16,AU$13))))</f>
        <v>0</v>
      </c>
      <c r="AV16" s="180">
        <f ca="1">IF($D16&lt;&gt;"Serviço",0,IF(AND(AUTOEVENTO="Manual",$M16=1),0,IF(OFFSET(CRONOPLE!$F$14,$M16,AV$13)="",10^12,OFFSET(CRONOPLE!$F$14,$M16,AV$13))))</f>
        <v>0</v>
      </c>
      <c r="AX16" s="181">
        <f ca="1">IF($D16&lt;&gt;"Serviço",0,IF(OR(AND(AUTOEVENTO="Manual",$M16=1),$M16&gt;(ROW(PLE.lastrow)-ROW(PLE.firstrow))),0,IF(OFFSET(PLE!$G$14,$M16,AX$13)="",10^12,OFFSET(PLE!$G$14,$M16,AX$13))))</f>
        <v>0</v>
      </c>
      <c r="AY16" s="181">
        <f ca="1">IF($D16&lt;&gt;"Serviço",0,IF(OR(AND(AUTOEVENTO="Manual",$M16=1),$M16&gt;(ROW(PLE.lastrow)-ROW(PLE.firstrow))),0,IF(OFFSET(PLE!$G$14,$M16,AY$13)="",10^12,OFFSET(PLE!$G$14,$M16,AY$13))))</f>
        <v>0</v>
      </c>
      <c r="AZ16" s="181">
        <f ca="1">IF($D16&lt;&gt;"Serviço",0,IF(OR(AND(AUTOEVENTO="Manual",$M16=1),$M16&gt;(ROW(PLE.lastrow)-ROW(PLE.firstrow))),0,IF(OFFSET(PLE!$G$14,$M16,AZ$13)="",10^12,OFFSET(PLE!$G$14,$M16,AZ$13))))</f>
        <v>0</v>
      </c>
      <c r="BA16" s="181">
        <f ca="1">IF($D16&lt;&gt;"Serviço",0,IF(OR(AND(AUTOEVENTO="Manual",$M16=1),$M16&gt;(ROW(PLE.lastrow)-ROW(PLE.firstrow))),0,IF(OFFSET(PLE!$G$14,$M16,BA$13)="",10^12,OFFSET(PLE!$G$14,$M16,BA$13))))</f>
        <v>0</v>
      </c>
      <c r="BB16" s="181">
        <f ca="1">IF($D16&lt;&gt;"Serviço",0,IF(OR(AND(AUTOEVENTO="Manual",$M16=1),$M16&gt;(ROW(PLE.lastrow)-ROW(PLE.firstrow))),0,IF(OFFSET(PLE!$G$14,$M16,BB$13)="",10^12,OFFSET(PLE!$G$14,$M16,BB$13))))</f>
        <v>0</v>
      </c>
      <c r="BC16" s="181">
        <f ca="1">IF($D16&lt;&gt;"Serviço",0,IF(OR(AND(AUTOEVENTO="Manual",$M16=1),$M16&gt;(ROW(PLE.lastrow)-ROW(PLE.firstrow))),0,IF(OFFSET(PLE!$G$14,$M16,BC$13)="",10^12,OFFSET(PLE!$G$14,$M16,BC$13))))</f>
        <v>0</v>
      </c>
      <c r="BD16" s="181">
        <f ca="1">IF($D16&lt;&gt;"Serviço",0,IF(OR(AND(AUTOEVENTO="Manual",$M16=1),$M16&gt;(ROW(PLE.lastrow)-ROW(PLE.firstrow))),0,IF(OFFSET(PLE!$G$14,$M16,BD$13)="",10^12,OFFSET(PLE!$G$14,$M16,BD$13))))</f>
        <v>0</v>
      </c>
      <c r="BE16" s="181">
        <f ca="1">IF($D16&lt;&gt;"Serviço",0,IF(OR(AND(AUTOEVENTO="Manual",$M16=1),$M16&gt;(ROW(PLE.lastrow)-ROW(PLE.firstrow))),0,IF(OFFSET(PLE!$G$14,$M16,BE$13)="",10^12,OFFSET(PLE!$G$14,$M16,BE$13))))</f>
        <v>0</v>
      </c>
      <c r="BF16" s="181">
        <f ca="1">IF($D16&lt;&gt;"Serviço",0,IF(OR(AND(AUTOEVENTO="Manual",$M16=1),$M16&gt;(ROW(PLE.lastrow)-ROW(PLE.firstrow))),0,IF(OFFSET(PLE!$G$14,$M16,BF$13)="",10^12,OFFSET(PLE!$G$14,$M16,BF$13))))</f>
        <v>0</v>
      </c>
      <c r="BG16" s="181">
        <f ca="1">IF($D16&lt;&gt;"Serviço",0,IF(OR(AND(AUTOEVENTO="Manual",$M16=1),$M16&gt;(ROW(PLE.lastrow)-ROW(PLE.firstrow))),0,IF(OFFSET(PLE!$G$14,$M16,BG$13)="",10^12,OFFSET(PLE!$G$14,$M16,BG$13))))</f>
        <v>0</v>
      </c>
    </row>
    <row r="17" spans="1:59" ht="12.75" x14ac:dyDescent="0.2">
      <c r="A17" s="7">
        <f t="shared" ca="1" si="8"/>
        <v>1</v>
      </c>
      <c r="B17" s="7">
        <f ca="1">OFFSET(ORÇAMENTO!C$15,ROW(B17)-ROW(B$15),0)</f>
        <v>2</v>
      </c>
      <c r="C17" s="7" t="str">
        <f ca="1">OFFSET(ORÇAMENTO!L$15,ROW(C17)-ROW(C$15),0)</f>
        <v>F</v>
      </c>
      <c r="D17" s="118" t="str">
        <f ca="1">OFFSET(ORÇAMENTO!N$15,ROW(D17)-ROW(D$15),0)</f>
        <v>Nível 2</v>
      </c>
      <c r="E17" s="119" t="str">
        <f ca="1">OFFSET(ORÇAMENTO!O$15,ROW(E17)-ROW(E$15),0)</f>
        <v>1.1.</v>
      </c>
      <c r="F17" s="171" t="str">
        <f ca="1">OFFSET(ORÇAMENTO!R$15,ROW(F17)-ROW(F$15),0)</f>
        <v>ADMINISTRAÇÃO LOCAL</v>
      </c>
      <c r="G17" s="172" t="str">
        <f ca="1">IF($D17&lt;&gt;"Serviço","",OFFSET(ORÇAMENTO!S$15,ROW(G17)-ROW(G$15),0))</f>
        <v/>
      </c>
      <c r="H17" s="124">
        <f ca="1">IF($D17&lt;&gt;"Serviço",0,IF(ACOMPANHAMENTO="BM",ROUND(OFFSET(ORÇAMENTO!AJ$15,ROW(H17)-ROW(H$15),0),15-13*ORÇAMENTO!$AF$7),SUMPRODUCT(($Q$12:$AA$12&lt;&gt;"")*ROUND($Q17:$AA17,15-13*ORÇAMENTO!$AF$7))))</f>
        <v>0</v>
      </c>
      <c r="I17" s="561"/>
      <c r="K17" s="173" t="s">
        <v>468</v>
      </c>
      <c r="L17" s="174" t="s">
        <v>257</v>
      </c>
      <c r="M17" s="175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176" t="str">
        <f ca="1">IF($D17&lt;&gt;"Serviço","",IF(AUTOEVENTO="Manual",IF($A17=0,"&lt;-- defina o número do agrupador",OFFSET(EVENTOS!$D$14,$A17,0)),OFFSET($F$15,$A17,0)))</f>
        <v/>
      </c>
      <c r="O17" s="177"/>
      <c r="Q17" s="177"/>
      <c r="R17" s="178"/>
      <c r="S17" s="178"/>
      <c r="T17" s="178"/>
      <c r="U17" s="178"/>
      <c r="V17" s="178"/>
      <c r="W17" s="178"/>
      <c r="X17" s="178"/>
      <c r="Y17" s="178"/>
      <c r="Z17" s="179"/>
      <c r="AB17" s="544">
        <f ca="1">IF(AND($D17="Serviço",AB$12&lt;&gt;0,$H17&gt;0,OR(AUTOEVENTO&lt;&gt;"manual",$M17&lt;&gt;1)),ROUND(OFFSET($P17,0,AB$13),15-13*ORÇAMENTO!$AF$7)/$H17*OFFSET(ORÇAMENTO!$X$15,ROW(AB17)-ROW(AB$15),0),0)</f>
        <v>0</v>
      </c>
      <c r="AC17" s="545">
        <f ca="1">IF(AND($D17="Serviço",AC$12&lt;&gt;0,$H17&gt;0,OR(AUTOEVENTO&lt;&gt;"manual",$M17&lt;&gt;1)),ROUND(OFFSET($P17,0,AC$13),15-13*ORÇAMENTO!$AF$7)/$H17*OFFSET(ORÇAMENTO!$X$15,ROW(AC17)-ROW(AC$15),0),0)</f>
        <v>0</v>
      </c>
      <c r="AD17" s="545">
        <f ca="1">IF(AND($D17="Serviço",AD$12&lt;&gt;0,$H17&gt;0,OR(AUTOEVENTO&lt;&gt;"manual",$M17&lt;&gt;1)),ROUND(OFFSET($P17,0,AD$13),15-13*ORÇAMENTO!$AF$7)/$H17*OFFSET(ORÇAMENTO!$X$15,ROW(AD17)-ROW(AD$15),0),0)</f>
        <v>0</v>
      </c>
      <c r="AE17" s="545">
        <f ca="1">IF(AND($D17="Serviço",AE$12&lt;&gt;0,$H17&gt;0,OR(AUTOEVENTO&lt;&gt;"manual",$M17&lt;&gt;1)),ROUND(OFFSET($P17,0,AE$13),15-13*ORÇAMENTO!$AF$7)/$H17*OFFSET(ORÇAMENTO!$X$15,ROW(AE17)-ROW(AE$15),0),0)</f>
        <v>0</v>
      </c>
      <c r="AF17" s="545">
        <f ca="1">IF(AND($D17="Serviço",AF$12&lt;&gt;0,$H17&gt;0,OR(AUTOEVENTO&lt;&gt;"manual",$M17&lt;&gt;1)),ROUND(OFFSET($P17,0,AF$13),15-13*ORÇAMENTO!$AF$7)/$H17*OFFSET(ORÇAMENTO!$X$15,ROW(AF17)-ROW(AF$15),0),0)</f>
        <v>0</v>
      </c>
      <c r="AG17" s="545">
        <f ca="1">IF(AND($D17="Serviço",AG$12&lt;&gt;0,$H17&gt;0,OR(AUTOEVENTO&lt;&gt;"manual",$M17&lt;&gt;1)),ROUND(OFFSET($P17,0,AG$13),15-13*ORÇAMENTO!$AF$7)/$H17*OFFSET(ORÇAMENTO!$X$15,ROW(AG17)-ROW(AG$15),0),0)</f>
        <v>0</v>
      </c>
      <c r="AH17" s="545">
        <f ca="1">IF(AND($D17="Serviço",AH$12&lt;&gt;0,$H17&gt;0,OR(AUTOEVENTO&lt;&gt;"manual",$M17&lt;&gt;1)),ROUND(OFFSET($P17,0,AH$13),15-13*ORÇAMENTO!$AF$7)/$H17*OFFSET(ORÇAMENTO!$X$15,ROW(AH17)-ROW(AH$15),0),0)</f>
        <v>0</v>
      </c>
      <c r="AI17" s="545">
        <f ca="1">IF(AND($D17="Serviço",AI$12&lt;&gt;0,$H17&gt;0,OR(AUTOEVENTO&lt;&gt;"manual",$M17&lt;&gt;1)),ROUND(OFFSET($P17,0,AI$13),15-13*ORÇAMENTO!$AF$7)/$H17*OFFSET(ORÇAMENTO!$X$15,ROW(AI17)-ROW(AI$15),0),0)</f>
        <v>0</v>
      </c>
      <c r="AJ17" s="545">
        <f ca="1">IF(AND($D17="Serviço",AJ$12&lt;&gt;0,$H17&gt;0,OR(AUTOEVENTO&lt;&gt;"manual",$M17&lt;&gt;1)),ROUND(OFFSET($P17,0,AJ$13),15-13*ORÇAMENTO!$AF$7)/$H17*OFFSET(ORÇAMENTO!$X$15,ROW(AJ17)-ROW(AJ$15),0),0)</f>
        <v>0</v>
      </c>
      <c r="AK17" s="546">
        <f ca="1">IF(AND($D17="Serviço",AK$12&lt;&gt;0,$H17&gt;0,OR(AUTOEVENTO&lt;&gt;"manual",$M17&lt;&gt;1)),ROUND(OFFSET($P17,0,AK$13),15-13*ORÇAMENTO!$AF$7)/$H17*OFFSET(ORÇAMENTO!$X$15,ROW(AK17)-ROW(AK$15),0),0)</f>
        <v>0</v>
      </c>
      <c r="AM17" s="180">
        <f ca="1">IF($D17&lt;&gt;"Serviço",0,IF(AND(AUTOEVENTO="Manual",$M17=1),0,IF(OFFSET(CRONOPLE!$F$14,$M17,AM$13)="",10^12,OFFSET(CRONOPLE!$F$14,$M17,AM$13))))</f>
        <v>0</v>
      </c>
      <c r="AN17" s="180">
        <f ca="1">IF($D17&lt;&gt;"Serviço",0,IF(AND(AUTOEVENTO="Manual",$M17=1),0,IF(OFFSET(CRONOPLE!$F$14,$M17,AN$13)="",10^12,OFFSET(CRONOPLE!$F$14,$M17,AN$13))))</f>
        <v>0</v>
      </c>
      <c r="AO17" s="180">
        <f ca="1">IF($D17&lt;&gt;"Serviço",0,IF(AND(AUTOEVENTO="Manual",$M17=1),0,IF(OFFSET(CRONOPLE!$F$14,$M17,AO$13)="",10^12,OFFSET(CRONOPLE!$F$14,$M17,AO$13))))</f>
        <v>0</v>
      </c>
      <c r="AP17" s="180">
        <f ca="1">IF($D17&lt;&gt;"Serviço",0,IF(AND(AUTOEVENTO="Manual",$M17=1),0,IF(OFFSET(CRONOPLE!$F$14,$M17,AP$13)="",10^12,OFFSET(CRONOPLE!$F$14,$M17,AP$13))))</f>
        <v>0</v>
      </c>
      <c r="AQ17" s="180">
        <f ca="1">IF($D17&lt;&gt;"Serviço",0,IF(AND(AUTOEVENTO="Manual",$M17=1),0,IF(OFFSET(CRONOPLE!$F$14,$M17,AQ$13)="",10^12,OFFSET(CRONOPLE!$F$14,$M17,AQ$13))))</f>
        <v>0</v>
      </c>
      <c r="AR17" s="180">
        <f ca="1">IF($D17&lt;&gt;"Serviço",0,IF(AND(AUTOEVENTO="Manual",$M17=1),0,IF(OFFSET(CRONOPLE!$F$14,$M17,AR$13)="",10^12,OFFSET(CRONOPLE!$F$14,$M17,AR$13))))</f>
        <v>0</v>
      </c>
      <c r="AS17" s="180">
        <f ca="1">IF($D17&lt;&gt;"Serviço",0,IF(AND(AUTOEVENTO="Manual",$M17=1),0,IF(OFFSET(CRONOPLE!$F$14,$M17,AS$13)="",10^12,OFFSET(CRONOPLE!$F$14,$M17,AS$13))))</f>
        <v>0</v>
      </c>
      <c r="AT17" s="180">
        <f ca="1">IF($D17&lt;&gt;"Serviço",0,IF(AND(AUTOEVENTO="Manual",$M17=1),0,IF(OFFSET(CRONOPLE!$F$14,$M17,AT$13)="",10^12,OFFSET(CRONOPLE!$F$14,$M17,AT$13))))</f>
        <v>0</v>
      </c>
      <c r="AU17" s="180">
        <f ca="1">IF($D17&lt;&gt;"Serviço",0,IF(AND(AUTOEVENTO="Manual",$M17=1),0,IF(OFFSET(CRONOPLE!$F$14,$M17,AU$13)="",10^12,OFFSET(CRONOPLE!$F$14,$M17,AU$13))))</f>
        <v>0</v>
      </c>
      <c r="AV17" s="180">
        <f ca="1">IF($D17&lt;&gt;"Serviço",0,IF(AND(AUTOEVENTO="Manual",$M17=1),0,IF(OFFSET(CRONOPLE!$F$14,$M17,AV$13)="",10^12,OFFSET(CRONOPLE!$F$14,$M17,AV$13))))</f>
        <v>0</v>
      </c>
      <c r="AX17" s="181">
        <f ca="1">IF($D17&lt;&gt;"Serviço",0,IF(OR(AND(AUTOEVENTO="Manual",$M17=1),$M17&gt;(ROW(PLE.lastrow)-ROW(PLE.firstrow))),0,IF(OFFSET(PLE!$G$14,$M17,AX$13)="",10^12,OFFSET(PLE!$G$14,$M17,AX$13))))</f>
        <v>0</v>
      </c>
      <c r="AY17" s="181">
        <f ca="1">IF($D17&lt;&gt;"Serviço",0,IF(OR(AND(AUTOEVENTO="Manual",$M17=1),$M17&gt;(ROW(PLE.lastrow)-ROW(PLE.firstrow))),0,IF(OFFSET(PLE!$G$14,$M17,AY$13)="",10^12,OFFSET(PLE!$G$14,$M17,AY$13))))</f>
        <v>0</v>
      </c>
      <c r="AZ17" s="181">
        <f ca="1">IF($D17&lt;&gt;"Serviço",0,IF(OR(AND(AUTOEVENTO="Manual",$M17=1),$M17&gt;(ROW(PLE.lastrow)-ROW(PLE.firstrow))),0,IF(OFFSET(PLE!$G$14,$M17,AZ$13)="",10^12,OFFSET(PLE!$G$14,$M17,AZ$13))))</f>
        <v>0</v>
      </c>
      <c r="BA17" s="181">
        <f ca="1">IF($D17&lt;&gt;"Serviço",0,IF(OR(AND(AUTOEVENTO="Manual",$M17=1),$M17&gt;(ROW(PLE.lastrow)-ROW(PLE.firstrow))),0,IF(OFFSET(PLE!$G$14,$M17,BA$13)="",10^12,OFFSET(PLE!$G$14,$M17,BA$13))))</f>
        <v>0</v>
      </c>
      <c r="BB17" s="181">
        <f ca="1">IF($D17&lt;&gt;"Serviço",0,IF(OR(AND(AUTOEVENTO="Manual",$M17=1),$M17&gt;(ROW(PLE.lastrow)-ROW(PLE.firstrow))),0,IF(OFFSET(PLE!$G$14,$M17,BB$13)="",10^12,OFFSET(PLE!$G$14,$M17,BB$13))))</f>
        <v>0</v>
      </c>
      <c r="BC17" s="181">
        <f ca="1">IF($D17&lt;&gt;"Serviço",0,IF(OR(AND(AUTOEVENTO="Manual",$M17=1),$M17&gt;(ROW(PLE.lastrow)-ROW(PLE.firstrow))),0,IF(OFFSET(PLE!$G$14,$M17,BC$13)="",10^12,OFFSET(PLE!$G$14,$M17,BC$13))))</f>
        <v>0</v>
      </c>
      <c r="BD17" s="181">
        <f ca="1">IF($D17&lt;&gt;"Serviço",0,IF(OR(AND(AUTOEVENTO="Manual",$M17=1),$M17&gt;(ROW(PLE.lastrow)-ROW(PLE.firstrow))),0,IF(OFFSET(PLE!$G$14,$M17,BD$13)="",10^12,OFFSET(PLE!$G$14,$M17,BD$13))))</f>
        <v>0</v>
      </c>
      <c r="BE17" s="181">
        <f ca="1">IF($D17&lt;&gt;"Serviço",0,IF(OR(AND(AUTOEVENTO="Manual",$M17=1),$M17&gt;(ROW(PLE.lastrow)-ROW(PLE.firstrow))),0,IF(OFFSET(PLE!$G$14,$M17,BE$13)="",10^12,OFFSET(PLE!$G$14,$M17,BE$13))))</f>
        <v>0</v>
      </c>
      <c r="BF17" s="181">
        <f ca="1">IF($D17&lt;&gt;"Serviço",0,IF(OR(AND(AUTOEVENTO="Manual",$M17=1),$M17&gt;(ROW(PLE.lastrow)-ROW(PLE.firstrow))),0,IF(OFFSET(PLE!$G$14,$M17,BF$13)="",10^12,OFFSET(PLE!$G$14,$M17,BF$13))))</f>
        <v>0</v>
      </c>
      <c r="BG17" s="181">
        <f ca="1">IF($D17&lt;&gt;"Serviço",0,IF(OR(AND(AUTOEVENTO="Manual",$M17=1),$M17&gt;(ROW(PLE.lastrow)-ROW(PLE.firstrow))),0,IF(OFFSET(PLE!$G$14,$M17,BG$13)="",10^12,OFFSET(PLE!$G$14,$M17,BG$13))))</f>
        <v>0</v>
      </c>
    </row>
    <row r="18" spans="1:59" ht="38.25" x14ac:dyDescent="0.2">
      <c r="A18" s="7">
        <f t="shared" ca="1" si="8"/>
        <v>1</v>
      </c>
      <c r="B18" s="7" t="str">
        <f ca="1">OFFSET(ORÇAMENTO!C$15,ROW(B18)-ROW(B$15),0)</f>
        <v>S</v>
      </c>
      <c r="C18" s="7" t="str">
        <f ca="1">OFFSET(ORÇAMENTO!L$15,ROW(C18)-ROW(C$15),0)</f>
        <v/>
      </c>
      <c r="D18" s="118" t="str">
        <f ca="1">OFFSET(ORÇAMENTO!N$15,ROW(D18)-ROW(D$15),0)</f>
        <v>Serviço</v>
      </c>
      <c r="E18" s="119" t="str">
        <f ca="1">OFFSET(ORÇAMENTO!O$15,ROW(E18)-ROW(E$15),0)</f>
        <v>-</v>
      </c>
      <c r="F18" s="171" t="str">
        <f ca="1">OFFSET(ORÇAMENTO!R$15,ROW(F18)-ROW(F$15),0)</f>
        <v>(abra o arquivo 'Referência 04-2024.xls)</v>
      </c>
      <c r="G18" s="172" t="str">
        <f ca="1">IF($D18&lt;&gt;"Serviço","",OFFSET(ORÇAMENTO!S$15,ROW(G18)-ROW(G$15),0))</f>
        <v>-</v>
      </c>
      <c r="H18" s="124">
        <f ca="1">IF($D18&lt;&gt;"Serviço",0,IF(ACOMPANHAMENTO="BM",ROUND(OFFSET(ORÇAMENTO!AJ$15,ROW(H18)-ROW(H$15),0),15-13*ORÇAMENTO!$AF$7),SUMPRODUCT(($Q$12:$AA$12&lt;&gt;"")*ROUND($Q18:$AA18,15-13*ORÇAMENTO!$AF$7))))</f>
        <v>1</v>
      </c>
      <c r="I18" s="561" t="s">
        <v>488</v>
      </c>
      <c r="K18" s="173" t="s">
        <v>468</v>
      </c>
      <c r="L18" s="174" t="s">
        <v>257</v>
      </c>
      <c r="M18" s="175">
        <f ca="1">IF($D18&lt;&gt;"Serviço","",IF(AUTOEVENTO="manual",$A18,IF(ISERROR(MATCH($A18,$A$15:OFFSET($A18,-1,0),0)),MAX($M$15:OFFSET(M18,-1,0))+1,INDEX($M$15:OFFSET(M18,-1,0),MATCH($A18,$A$15:OFFSET($A18,-1,0),0)))))</f>
        <v>1</v>
      </c>
      <c r="N18" s="176" t="str">
        <f ca="1">IF($D18&lt;&gt;"Serviço","",IF(AUTOEVENTO="Manual",IF($A18=0,"&lt;-- defina o número do agrupador",OFFSET(EVENTOS!$D$14,$A18,0)),OFFSET($F$15,$A18,0)))</f>
        <v>Administração Local</v>
      </c>
      <c r="O18" s="177"/>
      <c r="Q18" s="177"/>
      <c r="R18" s="178">
        <v>1</v>
      </c>
      <c r="S18" s="178"/>
      <c r="T18" s="178"/>
      <c r="U18" s="178"/>
      <c r="V18" s="178"/>
      <c r="W18" s="178"/>
      <c r="X18" s="178"/>
      <c r="Y18" s="178"/>
      <c r="Z18" s="179"/>
      <c r="AB18" s="544">
        <f ca="1">IF(AND($D18="Serviço",AB$12&lt;&gt;0,$H18&gt;0,OR(AUTOEVENTO&lt;&gt;"manual",$M18&lt;&gt;1)),ROUND(OFFSET($P18,0,AB$13),15-13*ORÇAMENTO!$AF$7)/$H18*OFFSET(ORÇAMENTO!$X$15,ROW(AB18)-ROW(AB$15),0),0)</f>
        <v>0</v>
      </c>
      <c r="AC18" s="545">
        <f ca="1">IF(AND($D18="Serviço",AC$12&lt;&gt;0,$H18&gt;0,OR(AUTOEVENTO&lt;&gt;"manual",$M18&lt;&gt;1)),ROUND(OFFSET($P18,0,AC$13),15-13*ORÇAMENTO!$AF$7)/$H18*OFFSET(ORÇAMENTO!$X$15,ROW(AC18)-ROW(AC$15),0),0)</f>
        <v>0</v>
      </c>
      <c r="AD18" s="545">
        <f ca="1">IF(AND($D18="Serviço",AD$12&lt;&gt;0,$H18&gt;0,OR(AUTOEVENTO&lt;&gt;"manual",$M18&lt;&gt;1)),ROUND(OFFSET($P18,0,AD$13),15-13*ORÇAMENTO!$AF$7)/$H18*OFFSET(ORÇAMENTO!$X$15,ROW(AD18)-ROW(AD$15),0),0)</f>
        <v>0</v>
      </c>
      <c r="AE18" s="545">
        <f ca="1">IF(AND($D18="Serviço",AE$12&lt;&gt;0,$H18&gt;0,OR(AUTOEVENTO&lt;&gt;"manual",$M18&lt;&gt;1)),ROUND(OFFSET($P18,0,AE$13),15-13*ORÇAMENTO!$AF$7)/$H18*OFFSET(ORÇAMENTO!$X$15,ROW(AE18)-ROW(AE$15),0),0)</f>
        <v>0</v>
      </c>
      <c r="AF18" s="545">
        <f ca="1">IF(AND($D18="Serviço",AF$12&lt;&gt;0,$H18&gt;0,OR(AUTOEVENTO&lt;&gt;"manual",$M18&lt;&gt;1)),ROUND(OFFSET($P18,0,AF$13),15-13*ORÇAMENTO!$AF$7)/$H18*OFFSET(ORÇAMENTO!$X$15,ROW(AF18)-ROW(AF$15),0),0)</f>
        <v>0</v>
      </c>
      <c r="AG18" s="545">
        <f ca="1">IF(AND($D18="Serviço",AG$12&lt;&gt;0,$H18&gt;0,OR(AUTOEVENTO&lt;&gt;"manual",$M18&lt;&gt;1)),ROUND(OFFSET($P18,0,AG$13),15-13*ORÇAMENTO!$AF$7)/$H18*OFFSET(ORÇAMENTO!$X$15,ROW(AG18)-ROW(AG$15),0),0)</f>
        <v>0</v>
      </c>
      <c r="AH18" s="545">
        <f ca="1">IF(AND($D18="Serviço",AH$12&lt;&gt;0,$H18&gt;0,OR(AUTOEVENTO&lt;&gt;"manual",$M18&lt;&gt;1)),ROUND(OFFSET($P18,0,AH$13),15-13*ORÇAMENTO!$AF$7)/$H18*OFFSET(ORÇAMENTO!$X$15,ROW(AH18)-ROW(AH$15),0),0)</f>
        <v>0</v>
      </c>
      <c r="AI18" s="545">
        <f ca="1">IF(AND($D18="Serviço",AI$12&lt;&gt;0,$H18&gt;0,OR(AUTOEVENTO&lt;&gt;"manual",$M18&lt;&gt;1)),ROUND(OFFSET($P18,0,AI$13),15-13*ORÇAMENTO!$AF$7)/$H18*OFFSET(ORÇAMENTO!$X$15,ROW(AI18)-ROW(AI$15),0),0)</f>
        <v>0</v>
      </c>
      <c r="AJ18" s="545">
        <f ca="1">IF(AND($D18="Serviço",AJ$12&lt;&gt;0,$H18&gt;0,OR(AUTOEVENTO&lt;&gt;"manual",$M18&lt;&gt;1)),ROUND(OFFSET($P18,0,AJ$13),15-13*ORÇAMENTO!$AF$7)/$H18*OFFSET(ORÇAMENTO!$X$15,ROW(AJ18)-ROW(AJ$15),0),0)</f>
        <v>0</v>
      </c>
      <c r="AK18" s="546">
        <f ca="1">IF(AND($D18="Serviço",AK$12&lt;&gt;0,$H18&gt;0,OR(AUTOEVENTO&lt;&gt;"manual",$M18&lt;&gt;1)),ROUND(OFFSET($P18,0,AK$13),15-13*ORÇAMENTO!$AF$7)/$H18*OFFSET(ORÇAMENTO!$X$15,ROW(AK18)-ROW(AK$15),0),0)</f>
        <v>0</v>
      </c>
      <c r="AM18" s="180">
        <f ca="1">IF($D18&lt;&gt;"Serviço",0,IF(AND(AUTOEVENTO="Manual",$M18=1),0,IF(OFFSET(CRONOPLE!$F$14,$M18,AM$13)="",10^12,OFFSET(CRONOPLE!$F$14,$M18,AM$13))))</f>
        <v>0</v>
      </c>
      <c r="AN18" s="180">
        <f ca="1">IF($D18&lt;&gt;"Serviço",0,IF(AND(AUTOEVENTO="Manual",$M18=1),0,IF(OFFSET(CRONOPLE!$F$14,$M18,AN$13)="",10^12,OFFSET(CRONOPLE!$F$14,$M18,AN$13))))</f>
        <v>0</v>
      </c>
      <c r="AO18" s="180">
        <f ca="1">IF($D18&lt;&gt;"Serviço",0,IF(AND(AUTOEVENTO="Manual",$M18=1),0,IF(OFFSET(CRONOPLE!$F$14,$M18,AO$13)="",10^12,OFFSET(CRONOPLE!$F$14,$M18,AO$13))))</f>
        <v>0</v>
      </c>
      <c r="AP18" s="180">
        <f ca="1">IF($D18&lt;&gt;"Serviço",0,IF(AND(AUTOEVENTO="Manual",$M18=1),0,IF(OFFSET(CRONOPLE!$F$14,$M18,AP$13)="",10^12,OFFSET(CRONOPLE!$F$14,$M18,AP$13))))</f>
        <v>0</v>
      </c>
      <c r="AQ18" s="180">
        <f ca="1">IF($D18&lt;&gt;"Serviço",0,IF(AND(AUTOEVENTO="Manual",$M18=1),0,IF(OFFSET(CRONOPLE!$F$14,$M18,AQ$13)="",10^12,OFFSET(CRONOPLE!$F$14,$M18,AQ$13))))</f>
        <v>0</v>
      </c>
      <c r="AR18" s="180">
        <f ca="1">IF($D18&lt;&gt;"Serviço",0,IF(AND(AUTOEVENTO="Manual",$M18=1),0,IF(OFFSET(CRONOPLE!$F$14,$M18,AR$13)="",10^12,OFFSET(CRONOPLE!$F$14,$M18,AR$13))))</f>
        <v>0</v>
      </c>
      <c r="AS18" s="180">
        <f ca="1">IF($D18&lt;&gt;"Serviço",0,IF(AND(AUTOEVENTO="Manual",$M18=1),0,IF(OFFSET(CRONOPLE!$F$14,$M18,AS$13)="",10^12,OFFSET(CRONOPLE!$F$14,$M18,AS$13))))</f>
        <v>0</v>
      </c>
      <c r="AT18" s="180">
        <f ca="1">IF($D18&lt;&gt;"Serviço",0,IF(AND(AUTOEVENTO="Manual",$M18=1),0,IF(OFFSET(CRONOPLE!$F$14,$M18,AT$13)="",10^12,OFFSET(CRONOPLE!$F$14,$M18,AT$13))))</f>
        <v>0</v>
      </c>
      <c r="AU18" s="180">
        <f ca="1">IF($D18&lt;&gt;"Serviço",0,IF(AND(AUTOEVENTO="Manual",$M18=1),0,IF(OFFSET(CRONOPLE!$F$14,$M18,AU$13)="",10^12,OFFSET(CRONOPLE!$F$14,$M18,AU$13))))</f>
        <v>0</v>
      </c>
      <c r="AV18" s="180">
        <f ca="1">IF($D18&lt;&gt;"Serviço",0,IF(AND(AUTOEVENTO="Manual",$M18=1),0,IF(OFFSET(CRONOPLE!$F$14,$M18,AV$13)="",10^12,OFFSET(CRONOPLE!$F$14,$M18,AV$13))))</f>
        <v>0</v>
      </c>
      <c r="AX18" s="181">
        <f ca="1">IF($D18&lt;&gt;"Serviço",0,IF(OR(AND(AUTOEVENTO="Manual",$M18=1),$M18&gt;(ROW(PLE.lastrow)-ROW(PLE.firstrow))),0,IF(OFFSET(PLE!$G$14,$M18,AX$13)="",10^12,OFFSET(PLE!$G$14,$M18,AX$13))))</f>
        <v>0</v>
      </c>
      <c r="AY18" s="181">
        <f ca="1">IF($D18&lt;&gt;"Serviço",0,IF(OR(AND(AUTOEVENTO="Manual",$M18=1),$M18&gt;(ROW(PLE.lastrow)-ROW(PLE.firstrow))),0,IF(OFFSET(PLE!$G$14,$M18,AY$13)="",10^12,OFFSET(PLE!$G$14,$M18,AY$13))))</f>
        <v>0</v>
      </c>
      <c r="AZ18" s="181">
        <f ca="1">IF($D18&lt;&gt;"Serviço",0,IF(OR(AND(AUTOEVENTO="Manual",$M18=1),$M18&gt;(ROW(PLE.lastrow)-ROW(PLE.firstrow))),0,IF(OFFSET(PLE!$G$14,$M18,AZ$13)="",10^12,OFFSET(PLE!$G$14,$M18,AZ$13))))</f>
        <v>0</v>
      </c>
      <c r="BA18" s="181">
        <f ca="1">IF($D18&lt;&gt;"Serviço",0,IF(OR(AND(AUTOEVENTO="Manual",$M18=1),$M18&gt;(ROW(PLE.lastrow)-ROW(PLE.firstrow))),0,IF(OFFSET(PLE!$G$14,$M18,BA$13)="",10^12,OFFSET(PLE!$G$14,$M18,BA$13))))</f>
        <v>0</v>
      </c>
      <c r="BB18" s="181">
        <f ca="1">IF($D18&lt;&gt;"Serviço",0,IF(OR(AND(AUTOEVENTO="Manual",$M18=1),$M18&gt;(ROW(PLE.lastrow)-ROW(PLE.firstrow))),0,IF(OFFSET(PLE!$G$14,$M18,BB$13)="",10^12,OFFSET(PLE!$G$14,$M18,BB$13))))</f>
        <v>0</v>
      </c>
      <c r="BC18" s="181">
        <f ca="1">IF($D18&lt;&gt;"Serviço",0,IF(OR(AND(AUTOEVENTO="Manual",$M18=1),$M18&gt;(ROW(PLE.lastrow)-ROW(PLE.firstrow))),0,IF(OFFSET(PLE!$G$14,$M18,BC$13)="",10^12,OFFSET(PLE!$G$14,$M18,BC$13))))</f>
        <v>0</v>
      </c>
      <c r="BD18" s="181">
        <f ca="1">IF($D18&lt;&gt;"Serviço",0,IF(OR(AND(AUTOEVENTO="Manual",$M18=1),$M18&gt;(ROW(PLE.lastrow)-ROW(PLE.firstrow))),0,IF(OFFSET(PLE!$G$14,$M18,BD$13)="",10^12,OFFSET(PLE!$G$14,$M18,BD$13))))</f>
        <v>0</v>
      </c>
      <c r="BE18" s="181">
        <f ca="1">IF($D18&lt;&gt;"Serviço",0,IF(OR(AND(AUTOEVENTO="Manual",$M18=1),$M18&gt;(ROW(PLE.lastrow)-ROW(PLE.firstrow))),0,IF(OFFSET(PLE!$G$14,$M18,BE$13)="",10^12,OFFSET(PLE!$G$14,$M18,BE$13))))</f>
        <v>0</v>
      </c>
      <c r="BF18" s="181">
        <f ca="1">IF($D18&lt;&gt;"Serviço",0,IF(OR(AND(AUTOEVENTO="Manual",$M18=1),$M18&gt;(ROW(PLE.lastrow)-ROW(PLE.firstrow))),0,IF(OFFSET(PLE!$G$14,$M18,BF$13)="",10^12,OFFSET(PLE!$G$14,$M18,BF$13))))</f>
        <v>0</v>
      </c>
      <c r="BG18" s="181">
        <f ca="1">IF($D18&lt;&gt;"Serviço",0,IF(OR(AND(AUTOEVENTO="Manual",$M18=1),$M18&gt;(ROW(PLE.lastrow)-ROW(PLE.firstrow))),0,IF(OFFSET(PLE!$G$14,$M18,BG$13)="",10^12,OFFSET(PLE!$G$14,$M18,BG$13))))</f>
        <v>0</v>
      </c>
    </row>
    <row r="19" spans="1:59" ht="12.75" x14ac:dyDescent="0.2">
      <c r="A19" s="7">
        <f t="shared" ca="1" si="8"/>
        <v>2</v>
      </c>
      <c r="B19" s="7">
        <f ca="1">OFFSET(ORÇAMENTO!C$15,ROW(B19)-ROW(B$15),0)</f>
        <v>2</v>
      </c>
      <c r="C19" s="7" t="str">
        <f ca="1">OFFSET(ORÇAMENTO!L$15,ROW(C19)-ROW(C$15),0)</f>
        <v>F</v>
      </c>
      <c r="D19" s="118" t="str">
        <f ca="1">OFFSET(ORÇAMENTO!N$15,ROW(D19)-ROW(D$15),0)</f>
        <v>Nível 2</v>
      </c>
      <c r="E19" s="119" t="str">
        <f ca="1">OFFSET(ORÇAMENTO!O$15,ROW(E19)-ROW(E$15),0)</f>
        <v>1.2.</v>
      </c>
      <c r="F19" s="171" t="str">
        <f ca="1">OFFSET(ORÇAMENTO!R$15,ROW(F19)-ROW(F$15),0)</f>
        <v>SERVIÇOS PRELIMINARES</v>
      </c>
      <c r="G19" s="172" t="str">
        <f ca="1">IF($D19&lt;&gt;"Serviço","",OFFSET(ORÇAMENTO!S$15,ROW(G19)-ROW(G$15),0))</f>
        <v/>
      </c>
      <c r="H19" s="124">
        <f ca="1">IF($D19&lt;&gt;"Serviço",0,IF(ACOMPANHAMENTO="BM",ROUND(OFFSET(ORÇAMENTO!AJ$15,ROW(H19)-ROW(H$15),0),15-13*ORÇAMENTO!$AF$7),SUMPRODUCT(($Q$12:$AA$12&lt;&gt;"")*ROUND($Q19:$AA19,15-13*ORÇAMENTO!$AF$7))))</f>
        <v>0</v>
      </c>
      <c r="I19" s="561"/>
      <c r="K19" s="173" t="s">
        <v>455</v>
      </c>
      <c r="L19" s="174" t="s">
        <v>257</v>
      </c>
      <c r="M19" s="175" t="str">
        <f ca="1">IF($D19&lt;&gt;"Serviço","",IF(AUTOEVENTO="manual",$A19,IF(ISERROR(MATCH($A19,$A$15:OFFSET($A19,-1,0),0)),MAX($M$15:OFFSET(M19,-1,0))+1,INDEX($M$15:OFFSET(M19,-1,0),MATCH($A19,$A$15:OFFSET($A19,-1,0),0)))))</f>
        <v/>
      </c>
      <c r="N19" s="176" t="str">
        <f ca="1">IF($D19&lt;&gt;"Serviço","",IF(AUTOEVENTO="Manual",IF($A19=0,"&lt;-- defina o número do agrupador",OFFSET(EVENTOS!$D$14,$A19,0)),OFFSET($F$15,$A19,0)))</f>
        <v/>
      </c>
      <c r="O19" s="177"/>
      <c r="Q19" s="177"/>
      <c r="R19" s="178"/>
      <c r="S19" s="178"/>
      <c r="T19" s="178"/>
      <c r="U19" s="178"/>
      <c r="V19" s="178"/>
      <c r="W19" s="178"/>
      <c r="X19" s="178"/>
      <c r="Y19" s="178"/>
      <c r="Z19" s="179"/>
      <c r="AB19" s="544">
        <f ca="1">IF(AND($D19="Serviço",AB$12&lt;&gt;0,$H19&gt;0,OR(AUTOEVENTO&lt;&gt;"manual",$M19&lt;&gt;1)),ROUND(OFFSET($P19,0,AB$13),15-13*ORÇAMENTO!$AF$7)/$H19*OFFSET(ORÇAMENTO!$X$15,ROW(AB19)-ROW(AB$15),0),0)</f>
        <v>0</v>
      </c>
      <c r="AC19" s="545">
        <f ca="1">IF(AND($D19="Serviço",AC$12&lt;&gt;0,$H19&gt;0,OR(AUTOEVENTO&lt;&gt;"manual",$M19&lt;&gt;1)),ROUND(OFFSET($P19,0,AC$13),15-13*ORÇAMENTO!$AF$7)/$H19*OFFSET(ORÇAMENTO!$X$15,ROW(AC19)-ROW(AC$15),0),0)</f>
        <v>0</v>
      </c>
      <c r="AD19" s="545">
        <f ca="1">IF(AND($D19="Serviço",AD$12&lt;&gt;0,$H19&gt;0,OR(AUTOEVENTO&lt;&gt;"manual",$M19&lt;&gt;1)),ROUND(OFFSET($P19,0,AD$13),15-13*ORÇAMENTO!$AF$7)/$H19*OFFSET(ORÇAMENTO!$X$15,ROW(AD19)-ROW(AD$15),0),0)</f>
        <v>0</v>
      </c>
      <c r="AE19" s="545">
        <f ca="1">IF(AND($D19="Serviço",AE$12&lt;&gt;0,$H19&gt;0,OR(AUTOEVENTO&lt;&gt;"manual",$M19&lt;&gt;1)),ROUND(OFFSET($P19,0,AE$13),15-13*ORÇAMENTO!$AF$7)/$H19*OFFSET(ORÇAMENTO!$X$15,ROW(AE19)-ROW(AE$15),0),0)</f>
        <v>0</v>
      </c>
      <c r="AF19" s="545">
        <f ca="1">IF(AND($D19="Serviço",AF$12&lt;&gt;0,$H19&gt;0,OR(AUTOEVENTO&lt;&gt;"manual",$M19&lt;&gt;1)),ROUND(OFFSET($P19,0,AF$13),15-13*ORÇAMENTO!$AF$7)/$H19*OFFSET(ORÇAMENTO!$X$15,ROW(AF19)-ROW(AF$15),0),0)</f>
        <v>0</v>
      </c>
      <c r="AG19" s="545">
        <f ca="1">IF(AND($D19="Serviço",AG$12&lt;&gt;0,$H19&gt;0,OR(AUTOEVENTO&lt;&gt;"manual",$M19&lt;&gt;1)),ROUND(OFFSET($P19,0,AG$13),15-13*ORÇAMENTO!$AF$7)/$H19*OFFSET(ORÇAMENTO!$X$15,ROW(AG19)-ROW(AG$15),0),0)</f>
        <v>0</v>
      </c>
      <c r="AH19" s="545">
        <f ca="1">IF(AND($D19="Serviço",AH$12&lt;&gt;0,$H19&gt;0,OR(AUTOEVENTO&lt;&gt;"manual",$M19&lt;&gt;1)),ROUND(OFFSET($P19,0,AH$13),15-13*ORÇAMENTO!$AF$7)/$H19*OFFSET(ORÇAMENTO!$X$15,ROW(AH19)-ROW(AH$15),0),0)</f>
        <v>0</v>
      </c>
      <c r="AI19" s="545">
        <f ca="1">IF(AND($D19="Serviço",AI$12&lt;&gt;0,$H19&gt;0,OR(AUTOEVENTO&lt;&gt;"manual",$M19&lt;&gt;1)),ROUND(OFFSET($P19,0,AI$13),15-13*ORÇAMENTO!$AF$7)/$H19*OFFSET(ORÇAMENTO!$X$15,ROW(AI19)-ROW(AI$15),0),0)</f>
        <v>0</v>
      </c>
      <c r="AJ19" s="545">
        <f ca="1">IF(AND($D19="Serviço",AJ$12&lt;&gt;0,$H19&gt;0,OR(AUTOEVENTO&lt;&gt;"manual",$M19&lt;&gt;1)),ROUND(OFFSET($P19,0,AJ$13),15-13*ORÇAMENTO!$AF$7)/$H19*OFFSET(ORÇAMENTO!$X$15,ROW(AJ19)-ROW(AJ$15),0),0)</f>
        <v>0</v>
      </c>
      <c r="AK19" s="546">
        <f ca="1">IF(AND($D19="Serviço",AK$12&lt;&gt;0,$H19&gt;0,OR(AUTOEVENTO&lt;&gt;"manual",$M19&lt;&gt;1)),ROUND(OFFSET($P19,0,AK$13),15-13*ORÇAMENTO!$AF$7)/$H19*OFFSET(ORÇAMENTO!$X$15,ROW(AK19)-ROW(AK$15),0),0)</f>
        <v>0</v>
      </c>
      <c r="AM19" s="180">
        <f ca="1">IF($D19&lt;&gt;"Serviço",0,IF(AND(AUTOEVENTO="Manual",$M19=1),0,IF(OFFSET(CRONOPLE!$F$14,$M19,AM$13)="",10^12,OFFSET(CRONOPLE!$F$14,$M19,AM$13))))</f>
        <v>0</v>
      </c>
      <c r="AN19" s="180">
        <f ca="1">IF($D19&lt;&gt;"Serviço",0,IF(AND(AUTOEVENTO="Manual",$M19=1),0,IF(OFFSET(CRONOPLE!$F$14,$M19,AN$13)="",10^12,OFFSET(CRONOPLE!$F$14,$M19,AN$13))))</f>
        <v>0</v>
      </c>
      <c r="AO19" s="180">
        <f ca="1">IF($D19&lt;&gt;"Serviço",0,IF(AND(AUTOEVENTO="Manual",$M19=1),0,IF(OFFSET(CRONOPLE!$F$14,$M19,AO$13)="",10^12,OFFSET(CRONOPLE!$F$14,$M19,AO$13))))</f>
        <v>0</v>
      </c>
      <c r="AP19" s="180">
        <f ca="1">IF($D19&lt;&gt;"Serviço",0,IF(AND(AUTOEVENTO="Manual",$M19=1),0,IF(OFFSET(CRONOPLE!$F$14,$M19,AP$13)="",10^12,OFFSET(CRONOPLE!$F$14,$M19,AP$13))))</f>
        <v>0</v>
      </c>
      <c r="AQ19" s="180">
        <f ca="1">IF($D19&lt;&gt;"Serviço",0,IF(AND(AUTOEVENTO="Manual",$M19=1),0,IF(OFFSET(CRONOPLE!$F$14,$M19,AQ$13)="",10^12,OFFSET(CRONOPLE!$F$14,$M19,AQ$13))))</f>
        <v>0</v>
      </c>
      <c r="AR19" s="180">
        <f ca="1">IF($D19&lt;&gt;"Serviço",0,IF(AND(AUTOEVENTO="Manual",$M19=1),0,IF(OFFSET(CRONOPLE!$F$14,$M19,AR$13)="",10^12,OFFSET(CRONOPLE!$F$14,$M19,AR$13))))</f>
        <v>0</v>
      </c>
      <c r="AS19" s="180">
        <f ca="1">IF($D19&lt;&gt;"Serviço",0,IF(AND(AUTOEVENTO="Manual",$M19=1),0,IF(OFFSET(CRONOPLE!$F$14,$M19,AS$13)="",10^12,OFFSET(CRONOPLE!$F$14,$M19,AS$13))))</f>
        <v>0</v>
      </c>
      <c r="AT19" s="180">
        <f ca="1">IF($D19&lt;&gt;"Serviço",0,IF(AND(AUTOEVENTO="Manual",$M19=1),0,IF(OFFSET(CRONOPLE!$F$14,$M19,AT$13)="",10^12,OFFSET(CRONOPLE!$F$14,$M19,AT$13))))</f>
        <v>0</v>
      </c>
      <c r="AU19" s="180">
        <f ca="1">IF($D19&lt;&gt;"Serviço",0,IF(AND(AUTOEVENTO="Manual",$M19=1),0,IF(OFFSET(CRONOPLE!$F$14,$M19,AU$13)="",10^12,OFFSET(CRONOPLE!$F$14,$M19,AU$13))))</f>
        <v>0</v>
      </c>
      <c r="AV19" s="180">
        <f ca="1">IF($D19&lt;&gt;"Serviço",0,IF(AND(AUTOEVENTO="Manual",$M19=1),0,IF(OFFSET(CRONOPLE!$F$14,$M19,AV$13)="",10^12,OFFSET(CRONOPLE!$F$14,$M19,AV$13))))</f>
        <v>0</v>
      </c>
      <c r="AX19" s="181">
        <f ca="1">IF($D19&lt;&gt;"Serviço",0,IF(OR(AND(AUTOEVENTO="Manual",$M19=1),$M19&gt;(ROW(PLE.lastrow)-ROW(PLE.firstrow))),0,IF(OFFSET(PLE!$G$14,$M19,AX$13)="",10^12,OFFSET(PLE!$G$14,$M19,AX$13))))</f>
        <v>0</v>
      </c>
      <c r="AY19" s="181">
        <f ca="1">IF($D19&lt;&gt;"Serviço",0,IF(OR(AND(AUTOEVENTO="Manual",$M19=1),$M19&gt;(ROW(PLE.lastrow)-ROW(PLE.firstrow))),0,IF(OFFSET(PLE!$G$14,$M19,AY$13)="",10^12,OFFSET(PLE!$G$14,$M19,AY$13))))</f>
        <v>0</v>
      </c>
      <c r="AZ19" s="181">
        <f ca="1">IF($D19&lt;&gt;"Serviço",0,IF(OR(AND(AUTOEVENTO="Manual",$M19=1),$M19&gt;(ROW(PLE.lastrow)-ROW(PLE.firstrow))),0,IF(OFFSET(PLE!$G$14,$M19,AZ$13)="",10^12,OFFSET(PLE!$G$14,$M19,AZ$13))))</f>
        <v>0</v>
      </c>
      <c r="BA19" s="181">
        <f ca="1">IF($D19&lt;&gt;"Serviço",0,IF(OR(AND(AUTOEVENTO="Manual",$M19=1),$M19&gt;(ROW(PLE.lastrow)-ROW(PLE.firstrow))),0,IF(OFFSET(PLE!$G$14,$M19,BA$13)="",10^12,OFFSET(PLE!$G$14,$M19,BA$13))))</f>
        <v>0</v>
      </c>
      <c r="BB19" s="181">
        <f ca="1">IF($D19&lt;&gt;"Serviço",0,IF(OR(AND(AUTOEVENTO="Manual",$M19=1),$M19&gt;(ROW(PLE.lastrow)-ROW(PLE.firstrow))),0,IF(OFFSET(PLE!$G$14,$M19,BB$13)="",10^12,OFFSET(PLE!$G$14,$M19,BB$13))))</f>
        <v>0</v>
      </c>
      <c r="BC19" s="181">
        <f ca="1">IF($D19&lt;&gt;"Serviço",0,IF(OR(AND(AUTOEVENTO="Manual",$M19=1),$M19&gt;(ROW(PLE.lastrow)-ROW(PLE.firstrow))),0,IF(OFFSET(PLE!$G$14,$M19,BC$13)="",10^12,OFFSET(PLE!$G$14,$M19,BC$13))))</f>
        <v>0</v>
      </c>
      <c r="BD19" s="181">
        <f ca="1">IF($D19&lt;&gt;"Serviço",0,IF(OR(AND(AUTOEVENTO="Manual",$M19=1),$M19&gt;(ROW(PLE.lastrow)-ROW(PLE.firstrow))),0,IF(OFFSET(PLE!$G$14,$M19,BD$13)="",10^12,OFFSET(PLE!$G$14,$M19,BD$13))))</f>
        <v>0</v>
      </c>
      <c r="BE19" s="181">
        <f ca="1">IF($D19&lt;&gt;"Serviço",0,IF(OR(AND(AUTOEVENTO="Manual",$M19=1),$M19&gt;(ROW(PLE.lastrow)-ROW(PLE.firstrow))),0,IF(OFFSET(PLE!$G$14,$M19,BE$13)="",10^12,OFFSET(PLE!$G$14,$M19,BE$13))))</f>
        <v>0</v>
      </c>
      <c r="BF19" s="181">
        <f ca="1">IF($D19&lt;&gt;"Serviço",0,IF(OR(AND(AUTOEVENTO="Manual",$M19=1),$M19&gt;(ROW(PLE.lastrow)-ROW(PLE.firstrow))),0,IF(OFFSET(PLE!$G$14,$M19,BF$13)="",10^12,OFFSET(PLE!$G$14,$M19,BF$13))))</f>
        <v>0</v>
      </c>
      <c r="BG19" s="181">
        <f ca="1">IF($D19&lt;&gt;"Serviço",0,IF(OR(AND(AUTOEVENTO="Manual",$M19=1),$M19&gt;(ROW(PLE.lastrow)-ROW(PLE.firstrow))),0,IF(OFFSET(PLE!$G$14,$M19,BG$13)="",10^12,OFFSET(PLE!$G$14,$M19,BG$13))))</f>
        <v>0</v>
      </c>
    </row>
    <row r="20" spans="1:59" ht="25.5" x14ac:dyDescent="0.2">
      <c r="A20" s="7">
        <f t="shared" ca="1" si="8"/>
        <v>2</v>
      </c>
      <c r="B20" s="7" t="str">
        <f ca="1">OFFSET(ORÇAMENTO!C$15,ROW(B20)-ROW(B$15),0)</f>
        <v>S</v>
      </c>
      <c r="C20" s="7" t="str">
        <f ca="1">OFFSET(ORÇAMENTO!L$15,ROW(C20)-ROW(C$15),0)</f>
        <v/>
      </c>
      <c r="D20" s="118" t="str">
        <f ca="1">OFFSET(ORÇAMENTO!N$15,ROW(D20)-ROW(D$15),0)</f>
        <v>Serviço</v>
      </c>
      <c r="E20" s="119" t="str">
        <f ca="1">OFFSET(ORÇAMENTO!O$15,ROW(E20)-ROW(E$15),0)</f>
        <v>-</v>
      </c>
      <c r="F20" s="171" t="str">
        <f ca="1">OFFSET(ORÇAMENTO!R$15,ROW(F20)-ROW(F$15),0)</f>
        <v>(abra o arquivo 'Referência 04-2024.xls)</v>
      </c>
      <c r="G20" s="172" t="str">
        <f ca="1">IF($D20&lt;&gt;"Serviço","",OFFSET(ORÇAMENTO!S$15,ROW(G20)-ROW(G$15),0))</f>
        <v>-</v>
      </c>
      <c r="H20" s="124">
        <f ca="1">IF($D20&lt;&gt;"Serviço",0,IF(ACOMPANHAMENTO="BM",ROUND(OFFSET(ORÇAMENTO!AJ$15,ROW(H20)-ROW(H$15),0),15-13*ORÇAMENTO!$AF$7),SUMPRODUCT(($Q$12:$AA$12&lt;&gt;"")*ROUND($Q20:$AA20,15-13*ORÇAMENTO!$AF$7))))</f>
        <v>6.48</v>
      </c>
      <c r="I20" s="561" t="s">
        <v>470</v>
      </c>
      <c r="K20" s="173" t="s">
        <v>455</v>
      </c>
      <c r="L20" s="174" t="s">
        <v>257</v>
      </c>
      <c r="M20" s="175">
        <f ca="1">IF($D20&lt;&gt;"Serviço","",IF(AUTOEVENTO="manual",$A20,IF(ISERROR(MATCH($A20,$A$15:OFFSET($A20,-1,0),0)),MAX($M$15:OFFSET(M20,-1,0))+1,INDEX($M$15:OFFSET(M20,-1,0),MATCH($A20,$A$15:OFFSET($A20,-1,0),0)))))</f>
        <v>2</v>
      </c>
      <c r="N20" s="176" t="str">
        <f ca="1">IF($D20&lt;&gt;"Serviço","",IF(AUTOEVENTO="Manual",IF($A20=0,"&lt;-- defina o número do agrupador",OFFSET(EVENTOS!$D$14,$A20,0)),OFFSET($F$15,$A20,0)))</f>
        <v>Serviços Preliminares</v>
      </c>
      <c r="O20" s="177"/>
      <c r="Q20" s="177">
        <f>3.6*1.8</f>
        <v>6.48</v>
      </c>
      <c r="R20" s="178"/>
      <c r="S20" s="178"/>
      <c r="T20" s="178"/>
      <c r="U20" s="178"/>
      <c r="V20" s="178"/>
      <c r="W20" s="178"/>
      <c r="X20" s="178"/>
      <c r="Y20" s="178"/>
      <c r="Z20" s="179"/>
      <c r="AB20" s="544">
        <f ca="1">IF(AND($D20="Serviço",AB$12&lt;&gt;0,$H20&gt;0,OR(AUTOEVENTO&lt;&gt;"manual",$M20&lt;&gt;1)),ROUND(OFFSET($P20,0,AB$13),15-13*ORÇAMENTO!$AF$7)/$H20*OFFSET(ORÇAMENTO!$X$15,ROW(AB20)-ROW(AB$15),0),0)</f>
        <v>0</v>
      </c>
      <c r="AC20" s="545">
        <f ca="1">IF(AND($D20="Serviço",AC$12&lt;&gt;0,$H20&gt;0,OR(AUTOEVENTO&lt;&gt;"manual",$M20&lt;&gt;1)),ROUND(OFFSET($P20,0,AC$13),15-13*ORÇAMENTO!$AF$7)/$H20*OFFSET(ORÇAMENTO!$X$15,ROW(AC20)-ROW(AC$15),0),0)</f>
        <v>0</v>
      </c>
      <c r="AD20" s="545">
        <f ca="1">IF(AND($D20="Serviço",AD$12&lt;&gt;0,$H20&gt;0,OR(AUTOEVENTO&lt;&gt;"manual",$M20&lt;&gt;1)),ROUND(OFFSET($P20,0,AD$13),15-13*ORÇAMENTO!$AF$7)/$H20*OFFSET(ORÇAMENTO!$X$15,ROW(AD20)-ROW(AD$15),0),0)</f>
        <v>0</v>
      </c>
      <c r="AE20" s="545">
        <f ca="1">IF(AND($D20="Serviço",AE$12&lt;&gt;0,$H20&gt;0,OR(AUTOEVENTO&lt;&gt;"manual",$M20&lt;&gt;1)),ROUND(OFFSET($P20,0,AE$13),15-13*ORÇAMENTO!$AF$7)/$H20*OFFSET(ORÇAMENTO!$X$15,ROW(AE20)-ROW(AE$15),0),0)</f>
        <v>0</v>
      </c>
      <c r="AF20" s="545">
        <f ca="1">IF(AND($D20="Serviço",AF$12&lt;&gt;0,$H20&gt;0,OR(AUTOEVENTO&lt;&gt;"manual",$M20&lt;&gt;1)),ROUND(OFFSET($P20,0,AF$13),15-13*ORÇAMENTO!$AF$7)/$H20*OFFSET(ORÇAMENTO!$X$15,ROW(AF20)-ROW(AF$15),0),0)</f>
        <v>0</v>
      </c>
      <c r="AG20" s="545">
        <f ca="1">IF(AND($D20="Serviço",AG$12&lt;&gt;0,$H20&gt;0,OR(AUTOEVENTO&lt;&gt;"manual",$M20&lt;&gt;1)),ROUND(OFFSET($P20,0,AG$13),15-13*ORÇAMENTO!$AF$7)/$H20*OFFSET(ORÇAMENTO!$X$15,ROW(AG20)-ROW(AG$15),0),0)</f>
        <v>0</v>
      </c>
      <c r="AH20" s="545">
        <f ca="1">IF(AND($D20="Serviço",AH$12&lt;&gt;0,$H20&gt;0,OR(AUTOEVENTO&lt;&gt;"manual",$M20&lt;&gt;1)),ROUND(OFFSET($P20,0,AH$13),15-13*ORÇAMENTO!$AF$7)/$H20*OFFSET(ORÇAMENTO!$X$15,ROW(AH20)-ROW(AH$15),0),0)</f>
        <v>0</v>
      </c>
      <c r="AI20" s="545">
        <f ca="1">IF(AND($D20="Serviço",AI$12&lt;&gt;0,$H20&gt;0,OR(AUTOEVENTO&lt;&gt;"manual",$M20&lt;&gt;1)),ROUND(OFFSET($P20,0,AI$13),15-13*ORÇAMENTO!$AF$7)/$H20*OFFSET(ORÇAMENTO!$X$15,ROW(AI20)-ROW(AI$15),0),0)</f>
        <v>0</v>
      </c>
      <c r="AJ20" s="545">
        <f ca="1">IF(AND($D20="Serviço",AJ$12&lt;&gt;0,$H20&gt;0,OR(AUTOEVENTO&lt;&gt;"manual",$M20&lt;&gt;1)),ROUND(OFFSET($P20,0,AJ$13),15-13*ORÇAMENTO!$AF$7)/$H20*OFFSET(ORÇAMENTO!$X$15,ROW(AJ20)-ROW(AJ$15),0),0)</f>
        <v>0</v>
      </c>
      <c r="AK20" s="546">
        <f ca="1">IF(AND($D20="Serviço",AK$12&lt;&gt;0,$H20&gt;0,OR(AUTOEVENTO&lt;&gt;"manual",$M20&lt;&gt;1)),ROUND(OFFSET($P20,0,AK$13),15-13*ORÇAMENTO!$AF$7)/$H20*OFFSET(ORÇAMENTO!$X$15,ROW(AK20)-ROW(AK$15),0),0)</f>
        <v>0</v>
      </c>
      <c r="AM20" s="180">
        <f ca="1">IF($D20&lt;&gt;"Serviço",0,IF(AND(AUTOEVENTO="Manual",$M20=1),0,IF(OFFSET(CRONOPLE!$F$14,$M20,AM$13)="",10^12,OFFSET(CRONOPLE!$F$14,$M20,AM$13))))</f>
        <v>1</v>
      </c>
      <c r="AN20" s="180">
        <f ca="1">IF($D20&lt;&gt;"Serviço",0,IF(AND(AUTOEVENTO="Manual",$M20=1),0,IF(OFFSET(CRONOPLE!$F$14,$M20,AN$13)="",10^12,OFFSET(CRONOPLE!$F$14,$M20,AN$13))))</f>
        <v>1</v>
      </c>
      <c r="AO20" s="180">
        <f ca="1">IF($D20&lt;&gt;"Serviço",0,IF(AND(AUTOEVENTO="Manual",$M20=1),0,IF(OFFSET(CRONOPLE!$F$14,$M20,AO$13)="",10^12,OFFSET(CRONOPLE!$F$14,$M20,AO$13))))</f>
        <v>1</v>
      </c>
      <c r="AP20" s="180">
        <f ca="1">IF($D20&lt;&gt;"Serviço",0,IF(AND(AUTOEVENTO="Manual",$M20=1),0,IF(OFFSET(CRONOPLE!$F$14,$M20,AP$13)="",10^12,OFFSET(CRONOPLE!$F$14,$M20,AP$13))))</f>
        <v>1000000000000</v>
      </c>
      <c r="AQ20" s="180">
        <f ca="1">IF($D20&lt;&gt;"Serviço",0,IF(AND(AUTOEVENTO="Manual",$M20=1),0,IF(OFFSET(CRONOPLE!$F$14,$M20,AQ$13)="",10^12,OFFSET(CRONOPLE!$F$14,$M20,AQ$13))))</f>
        <v>1000000000000</v>
      </c>
      <c r="AR20" s="180">
        <f ca="1">IF($D20&lt;&gt;"Serviço",0,IF(AND(AUTOEVENTO="Manual",$M20=1),0,IF(OFFSET(CRONOPLE!$F$14,$M20,AR$13)="",10^12,OFFSET(CRONOPLE!$F$14,$M20,AR$13))))</f>
        <v>1</v>
      </c>
      <c r="AS20" s="180">
        <f ca="1">IF($D20&lt;&gt;"Serviço",0,IF(AND(AUTOEVENTO="Manual",$M20=1),0,IF(OFFSET(CRONOPLE!$F$14,$M20,AS$13)="",10^12,OFFSET(CRONOPLE!$F$14,$M20,AS$13))))</f>
        <v>1000000000000</v>
      </c>
      <c r="AT20" s="180">
        <f ca="1">IF($D20&lt;&gt;"Serviço",0,IF(AND(AUTOEVENTO="Manual",$M20=1),0,IF(OFFSET(CRONOPLE!$F$14,$M20,AT$13)="",10^12,OFFSET(CRONOPLE!$F$14,$M20,AT$13))))</f>
        <v>1000000000000</v>
      </c>
      <c r="AU20" s="180">
        <f ca="1">IF($D20&lt;&gt;"Serviço",0,IF(AND(AUTOEVENTO="Manual",$M20=1),0,IF(OFFSET(CRONOPLE!$F$14,$M20,AU$13)="",10^12,OFFSET(CRONOPLE!$F$14,$M20,AU$13))))</f>
        <v>1000000000000</v>
      </c>
      <c r="AV20" s="180">
        <f ca="1">IF($D20&lt;&gt;"Serviço",0,IF(AND(AUTOEVENTO="Manual",$M20=1),0,IF(OFFSET(CRONOPLE!$F$14,$M20,AV$13)="",10^12,OFFSET(CRONOPLE!$F$14,$M20,AV$13))))</f>
        <v>1000000000000</v>
      </c>
      <c r="AX20" s="181">
        <f ca="1">IF($D20&lt;&gt;"Serviço",0,IF(OR(AND(AUTOEVENTO="Manual",$M20=1),$M20&gt;(ROW(PLE.lastrow)-ROW(PLE.firstrow))),0,IF(OFFSET(PLE!$G$14,$M20,AX$13)="",10^12,OFFSET(PLE!$G$14,$M20,AX$13))))</f>
        <v>1000000000000</v>
      </c>
      <c r="AY20" s="181">
        <f ca="1">IF($D20&lt;&gt;"Serviço",0,IF(OR(AND(AUTOEVENTO="Manual",$M20=1),$M20&gt;(ROW(PLE.lastrow)-ROW(PLE.firstrow))),0,IF(OFFSET(PLE!$G$14,$M20,AY$13)="",10^12,OFFSET(PLE!$G$14,$M20,AY$13))))</f>
        <v>1000000000000</v>
      </c>
      <c r="AZ20" s="181">
        <f ca="1">IF($D20&lt;&gt;"Serviço",0,IF(OR(AND(AUTOEVENTO="Manual",$M20=1),$M20&gt;(ROW(PLE.lastrow)-ROW(PLE.firstrow))),0,IF(OFFSET(PLE!$G$14,$M20,AZ$13)="",10^12,OFFSET(PLE!$G$14,$M20,AZ$13))))</f>
        <v>1000000000000</v>
      </c>
      <c r="BA20" s="181">
        <f ca="1">IF($D20&lt;&gt;"Serviço",0,IF(OR(AND(AUTOEVENTO="Manual",$M20=1),$M20&gt;(ROW(PLE.lastrow)-ROW(PLE.firstrow))),0,IF(OFFSET(PLE!$G$14,$M20,BA$13)="",10^12,OFFSET(PLE!$G$14,$M20,BA$13))))</f>
        <v>1000000000000</v>
      </c>
      <c r="BB20" s="181">
        <f ca="1">IF($D20&lt;&gt;"Serviço",0,IF(OR(AND(AUTOEVENTO="Manual",$M20=1),$M20&gt;(ROW(PLE.lastrow)-ROW(PLE.firstrow))),0,IF(OFFSET(PLE!$G$14,$M20,BB$13)="",10^12,OFFSET(PLE!$G$14,$M20,BB$13))))</f>
        <v>1000000000000</v>
      </c>
      <c r="BC20" s="181">
        <f ca="1">IF($D20&lt;&gt;"Serviço",0,IF(OR(AND(AUTOEVENTO="Manual",$M20=1),$M20&gt;(ROW(PLE.lastrow)-ROW(PLE.firstrow))),0,IF(OFFSET(PLE!$G$14,$M20,BC$13)="",10^12,OFFSET(PLE!$G$14,$M20,BC$13))))</f>
        <v>1000000000000</v>
      </c>
      <c r="BD20" s="181">
        <f ca="1">IF($D20&lt;&gt;"Serviço",0,IF(OR(AND(AUTOEVENTO="Manual",$M20=1),$M20&gt;(ROW(PLE.lastrow)-ROW(PLE.firstrow))),0,IF(OFFSET(PLE!$G$14,$M20,BD$13)="",10^12,OFFSET(PLE!$G$14,$M20,BD$13))))</f>
        <v>1000000000000</v>
      </c>
      <c r="BE20" s="181">
        <f ca="1">IF($D20&lt;&gt;"Serviço",0,IF(OR(AND(AUTOEVENTO="Manual",$M20=1),$M20&gt;(ROW(PLE.lastrow)-ROW(PLE.firstrow))),0,IF(OFFSET(PLE!$G$14,$M20,BE$13)="",10^12,OFFSET(PLE!$G$14,$M20,BE$13))))</f>
        <v>1000000000000</v>
      </c>
      <c r="BF20" s="181">
        <f ca="1">IF($D20&lt;&gt;"Serviço",0,IF(OR(AND(AUTOEVENTO="Manual",$M20=1),$M20&gt;(ROW(PLE.lastrow)-ROW(PLE.firstrow))),0,IF(OFFSET(PLE!$G$14,$M20,BF$13)="",10^12,OFFSET(PLE!$G$14,$M20,BF$13))))</f>
        <v>1000000000000</v>
      </c>
      <c r="BG20" s="181">
        <f ca="1">IF($D20&lt;&gt;"Serviço",0,IF(OR(AND(AUTOEVENTO="Manual",$M20=1),$M20&gt;(ROW(PLE.lastrow)-ROW(PLE.firstrow))),0,IF(OFFSET(PLE!$G$14,$M20,BG$13)="",10^12,OFFSET(PLE!$G$14,$M20,BG$13))))</f>
        <v>1000000000000</v>
      </c>
    </row>
    <row r="21" spans="1:59" ht="12.75" x14ac:dyDescent="0.2">
      <c r="A21" s="7">
        <f ca="1">IF(AUTOEVENTO="Manual",IF(K21&lt;&gt;"",MIN(VALUE(LEFT(K21,FIND(".",K21)-1)),COUNTA(EVENTOS.Lista)),0),IF(OR($B21&gt;AUTOEVENTO,$B21="S",$B21=0),SUBSTITUTE(OFFSET($A21,-1,0),IF($D21="Serviço",".",""),""),ROW(A21)-ROW($A$15)&amp;"."))</f>
        <v>3</v>
      </c>
      <c r="B21" s="7">
        <f ca="1">OFFSET(ORÇAMENTO!C$15,ROW(B21)-ROW(B$15),0)</f>
        <v>2</v>
      </c>
      <c r="C21" s="7" t="str">
        <f ca="1">OFFSET(ORÇAMENTO!L$15,ROW(C21)-ROW(C$15),0)</f>
        <v>F</v>
      </c>
      <c r="D21" s="118" t="str">
        <f ca="1">OFFSET(ORÇAMENTO!N$15,ROW(D21)-ROW(D$15),0)</f>
        <v>Nível 2</v>
      </c>
      <c r="E21" s="119" t="str">
        <f ca="1">OFFSET(ORÇAMENTO!O$15,ROW(E21)-ROW(E$15),0)</f>
        <v>1.3.</v>
      </c>
      <c r="F21" s="171" t="str">
        <f ca="1">OFFSET(ORÇAMENTO!R$15,ROW(F21)-ROW(F$15),0)</f>
        <v>TERRAPLANAGEM</v>
      </c>
      <c r="G21" s="172" t="str">
        <f ca="1">IF($D21&lt;&gt;"Serviço","",OFFSET(ORÇAMENTO!S$15,ROW(G21)-ROW(G$15),0))</f>
        <v/>
      </c>
      <c r="H21" s="124">
        <f ca="1">IF($D21&lt;&gt;"Serviço",0,IF(ACOMPANHAMENTO="BM",ROUND(OFFSET(ORÇAMENTO!AJ$15,ROW(H21)-ROW(H$15),0),15-13*ORÇAMENTO!$AF$7),SUMPRODUCT(($Q$12:$AA$12&lt;&gt;"")*ROUND($Q21:$AA21,15-13*ORÇAMENTO!$AF$7))))</f>
        <v>0</v>
      </c>
      <c r="I21" s="561"/>
      <c r="K21" s="173" t="s">
        <v>474</v>
      </c>
      <c r="L21" s="174" t="s">
        <v>257</v>
      </c>
      <c r="M21" s="175" t="str">
        <f ca="1">IF($D21&lt;&gt;"Serviço","",IF(AUTOEVENTO="manual",$A21,IF(ISERROR(MATCH($A21,$A$15:OFFSET($A21,-1,0),0)),MAX($M$15:OFFSET(M21,-1,0))+1,INDEX($M$15:OFFSET(M21,-1,0),MATCH($A21,$A$15:OFFSET($A21,-1,0),0)))))</f>
        <v/>
      </c>
      <c r="N21" s="176" t="str">
        <f ca="1">IF($D21&lt;&gt;"Serviço","",IF(AUTOEVENTO="Manual",IF($A21=0,"&lt;-- defina o número do agrupador",OFFSET(EVENTOS!$D$14,$A21,0)),OFFSET($F$15,$A21,0)))</f>
        <v/>
      </c>
      <c r="O21" s="177"/>
      <c r="Q21" s="177"/>
      <c r="R21" s="178"/>
      <c r="S21" s="178"/>
      <c r="T21" s="178"/>
      <c r="U21" s="178"/>
      <c r="V21" s="178"/>
      <c r="W21" s="178"/>
      <c r="X21" s="178"/>
      <c r="Y21" s="178"/>
      <c r="Z21" s="179"/>
      <c r="AB21" s="544">
        <f ca="1">IF(AND($D21="Serviço",AB$12&lt;&gt;0,$H21&gt;0,OR(AUTOEVENTO&lt;&gt;"manual",$M21&lt;&gt;1)),ROUND(OFFSET($P21,0,AB$13),15-13*ORÇAMENTO!$AF$7)/$H21*OFFSET(ORÇAMENTO!$X$15,ROW(AB21)-ROW(AB$15),0),0)</f>
        <v>0</v>
      </c>
      <c r="AC21" s="545">
        <f ca="1">IF(AND($D21="Serviço",AC$12&lt;&gt;0,$H21&gt;0,OR(AUTOEVENTO&lt;&gt;"manual",$M21&lt;&gt;1)),ROUND(OFFSET($P21,0,AC$13),15-13*ORÇAMENTO!$AF$7)/$H21*OFFSET(ORÇAMENTO!$X$15,ROW(AC21)-ROW(AC$15),0),0)</f>
        <v>0</v>
      </c>
      <c r="AD21" s="545">
        <f ca="1">IF(AND($D21="Serviço",AD$12&lt;&gt;0,$H21&gt;0,OR(AUTOEVENTO&lt;&gt;"manual",$M21&lt;&gt;1)),ROUND(OFFSET($P21,0,AD$13),15-13*ORÇAMENTO!$AF$7)/$H21*OFFSET(ORÇAMENTO!$X$15,ROW(AD21)-ROW(AD$15),0),0)</f>
        <v>0</v>
      </c>
      <c r="AE21" s="545">
        <f ca="1">IF(AND($D21="Serviço",AE$12&lt;&gt;0,$H21&gt;0,OR(AUTOEVENTO&lt;&gt;"manual",$M21&lt;&gt;1)),ROUND(OFFSET($P21,0,AE$13),15-13*ORÇAMENTO!$AF$7)/$H21*OFFSET(ORÇAMENTO!$X$15,ROW(AE21)-ROW(AE$15),0),0)</f>
        <v>0</v>
      </c>
      <c r="AF21" s="545">
        <f ca="1">IF(AND($D21="Serviço",AF$12&lt;&gt;0,$H21&gt;0,OR(AUTOEVENTO&lt;&gt;"manual",$M21&lt;&gt;1)),ROUND(OFFSET($P21,0,AF$13),15-13*ORÇAMENTO!$AF$7)/$H21*OFFSET(ORÇAMENTO!$X$15,ROW(AF21)-ROW(AF$15),0),0)</f>
        <v>0</v>
      </c>
      <c r="AG21" s="545">
        <f ca="1">IF(AND($D21="Serviço",AG$12&lt;&gt;0,$H21&gt;0,OR(AUTOEVENTO&lt;&gt;"manual",$M21&lt;&gt;1)),ROUND(OFFSET($P21,0,AG$13),15-13*ORÇAMENTO!$AF$7)/$H21*OFFSET(ORÇAMENTO!$X$15,ROW(AG21)-ROW(AG$15),0),0)</f>
        <v>0</v>
      </c>
      <c r="AH21" s="545">
        <f ca="1">IF(AND($D21="Serviço",AH$12&lt;&gt;0,$H21&gt;0,OR(AUTOEVENTO&lt;&gt;"manual",$M21&lt;&gt;1)),ROUND(OFFSET($P21,0,AH$13),15-13*ORÇAMENTO!$AF$7)/$H21*OFFSET(ORÇAMENTO!$X$15,ROW(AH21)-ROW(AH$15),0),0)</f>
        <v>0</v>
      </c>
      <c r="AI21" s="545">
        <f ca="1">IF(AND($D21="Serviço",AI$12&lt;&gt;0,$H21&gt;0,OR(AUTOEVENTO&lt;&gt;"manual",$M21&lt;&gt;1)),ROUND(OFFSET($P21,0,AI$13),15-13*ORÇAMENTO!$AF$7)/$H21*OFFSET(ORÇAMENTO!$X$15,ROW(AI21)-ROW(AI$15),0),0)</f>
        <v>0</v>
      </c>
      <c r="AJ21" s="545">
        <f ca="1">IF(AND($D21="Serviço",AJ$12&lt;&gt;0,$H21&gt;0,OR(AUTOEVENTO&lt;&gt;"manual",$M21&lt;&gt;1)),ROUND(OFFSET($P21,0,AJ$13),15-13*ORÇAMENTO!$AF$7)/$H21*OFFSET(ORÇAMENTO!$X$15,ROW(AJ21)-ROW(AJ$15),0),0)</f>
        <v>0</v>
      </c>
      <c r="AK21" s="546">
        <f ca="1">IF(AND($D21="Serviço",AK$12&lt;&gt;0,$H21&gt;0,OR(AUTOEVENTO&lt;&gt;"manual",$M21&lt;&gt;1)),ROUND(OFFSET($P21,0,AK$13),15-13*ORÇAMENTO!$AF$7)/$H21*OFFSET(ORÇAMENTO!$X$15,ROW(AK21)-ROW(AK$15),0),0)</f>
        <v>0</v>
      </c>
      <c r="AM21" s="180">
        <f ca="1">IF($D21&lt;&gt;"Serviço",0,IF(AND(AUTOEVENTO="Manual",$M21=1),0,IF(OFFSET(CRONOPLE!$F$14,$M21,AM$13)="",10^12,OFFSET(CRONOPLE!$F$14,$M21,AM$13))))</f>
        <v>0</v>
      </c>
      <c r="AN21" s="180">
        <f ca="1">IF($D21&lt;&gt;"Serviço",0,IF(AND(AUTOEVENTO="Manual",$M21=1),0,IF(OFFSET(CRONOPLE!$F$14,$M21,AN$13)="",10^12,OFFSET(CRONOPLE!$F$14,$M21,AN$13))))</f>
        <v>0</v>
      </c>
      <c r="AO21" s="180">
        <f ca="1">IF($D21&lt;&gt;"Serviço",0,IF(AND(AUTOEVENTO="Manual",$M21=1),0,IF(OFFSET(CRONOPLE!$F$14,$M21,AO$13)="",10^12,OFFSET(CRONOPLE!$F$14,$M21,AO$13))))</f>
        <v>0</v>
      </c>
      <c r="AP21" s="180">
        <f ca="1">IF($D21&lt;&gt;"Serviço",0,IF(AND(AUTOEVENTO="Manual",$M21=1),0,IF(OFFSET(CRONOPLE!$F$14,$M21,AP$13)="",10^12,OFFSET(CRONOPLE!$F$14,$M21,AP$13))))</f>
        <v>0</v>
      </c>
      <c r="AQ21" s="180">
        <f ca="1">IF($D21&lt;&gt;"Serviço",0,IF(AND(AUTOEVENTO="Manual",$M21=1),0,IF(OFFSET(CRONOPLE!$F$14,$M21,AQ$13)="",10^12,OFFSET(CRONOPLE!$F$14,$M21,AQ$13))))</f>
        <v>0</v>
      </c>
      <c r="AR21" s="180">
        <f ca="1">IF($D21&lt;&gt;"Serviço",0,IF(AND(AUTOEVENTO="Manual",$M21=1),0,IF(OFFSET(CRONOPLE!$F$14,$M21,AR$13)="",10^12,OFFSET(CRONOPLE!$F$14,$M21,AR$13))))</f>
        <v>0</v>
      </c>
      <c r="AS21" s="180">
        <f ca="1">IF($D21&lt;&gt;"Serviço",0,IF(AND(AUTOEVENTO="Manual",$M21=1),0,IF(OFFSET(CRONOPLE!$F$14,$M21,AS$13)="",10^12,OFFSET(CRONOPLE!$F$14,$M21,AS$13))))</f>
        <v>0</v>
      </c>
      <c r="AT21" s="180">
        <f ca="1">IF($D21&lt;&gt;"Serviço",0,IF(AND(AUTOEVENTO="Manual",$M21=1),0,IF(OFFSET(CRONOPLE!$F$14,$M21,AT$13)="",10^12,OFFSET(CRONOPLE!$F$14,$M21,AT$13))))</f>
        <v>0</v>
      </c>
      <c r="AU21" s="180">
        <f ca="1">IF($D21&lt;&gt;"Serviço",0,IF(AND(AUTOEVENTO="Manual",$M21=1),0,IF(OFFSET(CRONOPLE!$F$14,$M21,AU$13)="",10^12,OFFSET(CRONOPLE!$F$14,$M21,AU$13))))</f>
        <v>0</v>
      </c>
      <c r="AV21" s="180">
        <f ca="1">IF($D21&lt;&gt;"Serviço",0,IF(AND(AUTOEVENTO="Manual",$M21=1),0,IF(OFFSET(CRONOPLE!$F$14,$M21,AV$13)="",10^12,OFFSET(CRONOPLE!$F$14,$M21,AV$13))))</f>
        <v>0</v>
      </c>
      <c r="AX21" s="181">
        <f ca="1">IF($D21&lt;&gt;"Serviço",0,IF(OR(AND(AUTOEVENTO="Manual",$M21=1),$M21&gt;(ROW(PLE.lastrow)-ROW(PLE.firstrow))),0,IF(OFFSET(PLE!$G$14,$M21,AX$13)="",10^12,OFFSET(PLE!$G$14,$M21,AX$13))))</f>
        <v>0</v>
      </c>
      <c r="AY21" s="181">
        <f ca="1">IF($D21&lt;&gt;"Serviço",0,IF(OR(AND(AUTOEVENTO="Manual",$M21=1),$M21&gt;(ROW(PLE.lastrow)-ROW(PLE.firstrow))),0,IF(OFFSET(PLE!$G$14,$M21,AY$13)="",10^12,OFFSET(PLE!$G$14,$M21,AY$13))))</f>
        <v>0</v>
      </c>
      <c r="AZ21" s="181">
        <f ca="1">IF($D21&lt;&gt;"Serviço",0,IF(OR(AND(AUTOEVENTO="Manual",$M21=1),$M21&gt;(ROW(PLE.lastrow)-ROW(PLE.firstrow))),0,IF(OFFSET(PLE!$G$14,$M21,AZ$13)="",10^12,OFFSET(PLE!$G$14,$M21,AZ$13))))</f>
        <v>0</v>
      </c>
      <c r="BA21" s="181">
        <f ca="1">IF($D21&lt;&gt;"Serviço",0,IF(OR(AND(AUTOEVENTO="Manual",$M21=1),$M21&gt;(ROW(PLE.lastrow)-ROW(PLE.firstrow))),0,IF(OFFSET(PLE!$G$14,$M21,BA$13)="",10^12,OFFSET(PLE!$G$14,$M21,BA$13))))</f>
        <v>0</v>
      </c>
      <c r="BB21" s="181">
        <f ca="1">IF($D21&lt;&gt;"Serviço",0,IF(OR(AND(AUTOEVENTO="Manual",$M21=1),$M21&gt;(ROW(PLE.lastrow)-ROW(PLE.firstrow))),0,IF(OFFSET(PLE!$G$14,$M21,BB$13)="",10^12,OFFSET(PLE!$G$14,$M21,BB$13))))</f>
        <v>0</v>
      </c>
      <c r="BC21" s="181">
        <f ca="1">IF($D21&lt;&gt;"Serviço",0,IF(OR(AND(AUTOEVENTO="Manual",$M21=1),$M21&gt;(ROW(PLE.lastrow)-ROW(PLE.firstrow))),0,IF(OFFSET(PLE!$G$14,$M21,BC$13)="",10^12,OFFSET(PLE!$G$14,$M21,BC$13))))</f>
        <v>0</v>
      </c>
      <c r="BD21" s="181">
        <f ca="1">IF($D21&lt;&gt;"Serviço",0,IF(OR(AND(AUTOEVENTO="Manual",$M21=1),$M21&gt;(ROW(PLE.lastrow)-ROW(PLE.firstrow))),0,IF(OFFSET(PLE!$G$14,$M21,BD$13)="",10^12,OFFSET(PLE!$G$14,$M21,BD$13))))</f>
        <v>0</v>
      </c>
      <c r="BE21" s="181">
        <f ca="1">IF($D21&lt;&gt;"Serviço",0,IF(OR(AND(AUTOEVENTO="Manual",$M21=1),$M21&gt;(ROW(PLE.lastrow)-ROW(PLE.firstrow))),0,IF(OFFSET(PLE!$G$14,$M21,BE$13)="",10^12,OFFSET(PLE!$G$14,$M21,BE$13))))</f>
        <v>0</v>
      </c>
      <c r="BF21" s="181">
        <f ca="1">IF($D21&lt;&gt;"Serviço",0,IF(OR(AND(AUTOEVENTO="Manual",$M21=1),$M21&gt;(ROW(PLE.lastrow)-ROW(PLE.firstrow))),0,IF(OFFSET(PLE!$G$14,$M21,BF$13)="",10^12,OFFSET(PLE!$G$14,$M21,BF$13))))</f>
        <v>0</v>
      </c>
      <c r="BG21" s="181">
        <f ca="1">IF($D21&lt;&gt;"Serviço",0,IF(OR(AND(AUTOEVENTO="Manual",$M21=1),$M21&gt;(ROW(PLE.lastrow)-ROW(PLE.firstrow))),0,IF(OFFSET(PLE!$G$14,$M21,BG$13)="",10^12,OFFSET(PLE!$G$14,$M21,BG$13))))</f>
        <v>0</v>
      </c>
    </row>
    <row r="22" spans="1:59" ht="25.5" x14ac:dyDescent="0.2">
      <c r="A22" s="7">
        <f ca="1">IF(AUTOEVENTO="Manual",IF(K22&lt;&gt;"",MIN(VALUE(LEFT(K22,FIND(".",K22)-1)),COUNTA(EVENTOS.Lista)),0),IF(OR($B22&gt;AUTOEVENTO,$B22="S",$B22=0),SUBSTITUTE(OFFSET($A22,-1,0),IF($D22="Serviço",".",""),""),ROW(A22)-ROW($A$15)&amp;"."))</f>
        <v>3</v>
      </c>
      <c r="B22" s="7" t="str">
        <f ca="1">OFFSET(ORÇAMENTO!C$15,ROW(B22)-ROW(B$15),0)</f>
        <v>S</v>
      </c>
      <c r="C22" s="7" t="str">
        <f ca="1">OFFSET(ORÇAMENTO!L$15,ROW(C22)-ROW(C$15),0)</f>
        <v/>
      </c>
      <c r="D22" s="118" t="str">
        <f ca="1">OFFSET(ORÇAMENTO!N$15,ROW(D22)-ROW(D$15),0)</f>
        <v>Serviço</v>
      </c>
      <c r="E22" s="119" t="str">
        <f ca="1">OFFSET(ORÇAMENTO!O$15,ROW(E22)-ROW(E$15),0)</f>
        <v>-</v>
      </c>
      <c r="F22" s="171" t="str">
        <f ca="1">OFFSET(ORÇAMENTO!R$15,ROW(F22)-ROW(F$15),0)</f>
        <v>(abra o arquivo 'Referência 04-2024.xls)</v>
      </c>
      <c r="G22" s="172" t="str">
        <f ca="1">IF($D22&lt;&gt;"Serviço","",OFFSET(ORÇAMENTO!S$15,ROW(G22)-ROW(G$15),0))</f>
        <v>-</v>
      </c>
      <c r="H22" s="124">
        <f ca="1">IF($D22&lt;&gt;"Serviço",0,IF(ACOMPANHAMENTO="BM",ROUND(OFFSET(ORÇAMENTO!AJ$15,ROW(H22)-ROW(H$15),0),15-13*ORÇAMENTO!$AF$7),SUMPRODUCT(($Q$12:$AA$12&lt;&gt;"")*ROUND($Q22:$AA22,15-13*ORÇAMENTO!$AF$7))))</f>
        <v>310</v>
      </c>
      <c r="I22" s="561" t="s">
        <v>479</v>
      </c>
      <c r="K22" s="173" t="s">
        <v>474</v>
      </c>
      <c r="L22" s="174" t="s">
        <v>257</v>
      </c>
      <c r="M22" s="175">
        <f ca="1">IF($D22&lt;&gt;"Serviço","",IF(AUTOEVENTO="manual",$A22,IF(ISERROR(MATCH($A22,$A$15:OFFSET($A22,-1,0),0)),MAX($M$15:OFFSET(M22,-1,0))+1,INDEX($M$15:OFFSET(M22,-1,0),MATCH($A22,$A$15:OFFSET($A22,-1,0),0)))))</f>
        <v>3</v>
      </c>
      <c r="N22" s="176" t="str">
        <f ca="1">IF($D22&lt;&gt;"Serviço","",IF(AUTOEVENTO="Manual",IF($A22=0,"&lt;-- defina o número do agrupador",OFFSET(EVENTOS!$D$14,$A22,0)),OFFSET($F$15,$A22,0)))</f>
        <v xml:space="preserve">Terraplanagem </v>
      </c>
      <c r="O22" s="177"/>
      <c r="Q22" s="177"/>
      <c r="R22" s="178">
        <f>310</f>
        <v>310</v>
      </c>
      <c r="S22" s="178"/>
      <c r="T22" s="178"/>
      <c r="U22" s="178"/>
      <c r="V22" s="178"/>
      <c r="W22" s="178"/>
      <c r="X22" s="178"/>
      <c r="Y22" s="178"/>
      <c r="Z22" s="179"/>
      <c r="AB22" s="544">
        <f ca="1">IF(AND($D22="Serviço",AB$12&lt;&gt;0,$H22&gt;0,OR(AUTOEVENTO&lt;&gt;"manual",$M22&lt;&gt;1)),ROUND(OFFSET($P22,0,AB$13),15-13*ORÇAMENTO!$AF$7)/$H22*OFFSET(ORÇAMENTO!$X$15,ROW(AB22)-ROW(AB$15),0),0)</f>
        <v>0</v>
      </c>
      <c r="AC22" s="545">
        <f ca="1">IF(AND($D22="Serviço",AC$12&lt;&gt;0,$H22&gt;0,OR(AUTOEVENTO&lt;&gt;"manual",$M22&lt;&gt;1)),ROUND(OFFSET($P22,0,AC$13),15-13*ORÇAMENTO!$AF$7)/$H22*OFFSET(ORÇAMENTO!$X$15,ROW(AC22)-ROW(AC$15),0),0)</f>
        <v>0</v>
      </c>
      <c r="AD22" s="545">
        <f ca="1">IF(AND($D22="Serviço",AD$12&lt;&gt;0,$H22&gt;0,OR(AUTOEVENTO&lt;&gt;"manual",$M22&lt;&gt;1)),ROUND(OFFSET($P22,0,AD$13),15-13*ORÇAMENTO!$AF$7)/$H22*OFFSET(ORÇAMENTO!$X$15,ROW(AD22)-ROW(AD$15),0),0)</f>
        <v>0</v>
      </c>
      <c r="AE22" s="545">
        <f ca="1">IF(AND($D22="Serviço",AE$12&lt;&gt;0,$H22&gt;0,OR(AUTOEVENTO&lt;&gt;"manual",$M22&lt;&gt;1)),ROUND(OFFSET($P22,0,AE$13),15-13*ORÇAMENTO!$AF$7)/$H22*OFFSET(ORÇAMENTO!$X$15,ROW(AE22)-ROW(AE$15),0),0)</f>
        <v>0</v>
      </c>
      <c r="AF22" s="545">
        <f ca="1">IF(AND($D22="Serviço",AF$12&lt;&gt;0,$H22&gt;0,OR(AUTOEVENTO&lt;&gt;"manual",$M22&lt;&gt;1)),ROUND(OFFSET($P22,0,AF$13),15-13*ORÇAMENTO!$AF$7)/$H22*OFFSET(ORÇAMENTO!$X$15,ROW(AF22)-ROW(AF$15),0),0)</f>
        <v>0</v>
      </c>
      <c r="AG22" s="545">
        <f ca="1">IF(AND($D22="Serviço",AG$12&lt;&gt;0,$H22&gt;0,OR(AUTOEVENTO&lt;&gt;"manual",$M22&lt;&gt;1)),ROUND(OFFSET($P22,0,AG$13),15-13*ORÇAMENTO!$AF$7)/$H22*OFFSET(ORÇAMENTO!$X$15,ROW(AG22)-ROW(AG$15),0),0)</f>
        <v>0</v>
      </c>
      <c r="AH22" s="545">
        <f ca="1">IF(AND($D22="Serviço",AH$12&lt;&gt;0,$H22&gt;0,OR(AUTOEVENTO&lt;&gt;"manual",$M22&lt;&gt;1)),ROUND(OFFSET($P22,0,AH$13),15-13*ORÇAMENTO!$AF$7)/$H22*OFFSET(ORÇAMENTO!$X$15,ROW(AH22)-ROW(AH$15),0),0)</f>
        <v>0</v>
      </c>
      <c r="AI22" s="545">
        <f ca="1">IF(AND($D22="Serviço",AI$12&lt;&gt;0,$H22&gt;0,OR(AUTOEVENTO&lt;&gt;"manual",$M22&lt;&gt;1)),ROUND(OFFSET($P22,0,AI$13),15-13*ORÇAMENTO!$AF$7)/$H22*OFFSET(ORÇAMENTO!$X$15,ROW(AI22)-ROW(AI$15),0),0)</f>
        <v>0</v>
      </c>
      <c r="AJ22" s="545">
        <f ca="1">IF(AND($D22="Serviço",AJ$12&lt;&gt;0,$H22&gt;0,OR(AUTOEVENTO&lt;&gt;"manual",$M22&lt;&gt;1)),ROUND(OFFSET($P22,0,AJ$13),15-13*ORÇAMENTO!$AF$7)/$H22*OFFSET(ORÇAMENTO!$X$15,ROW(AJ22)-ROW(AJ$15),0),0)</f>
        <v>0</v>
      </c>
      <c r="AK22" s="546">
        <f ca="1">IF(AND($D22="Serviço",AK$12&lt;&gt;0,$H22&gt;0,OR(AUTOEVENTO&lt;&gt;"manual",$M22&lt;&gt;1)),ROUND(OFFSET($P22,0,AK$13),15-13*ORÇAMENTO!$AF$7)/$H22*OFFSET(ORÇAMENTO!$X$15,ROW(AK22)-ROW(AK$15),0),0)</f>
        <v>0</v>
      </c>
      <c r="AM22" s="180">
        <f ca="1">IF($D22&lt;&gt;"Serviço",0,IF(AND(AUTOEVENTO="Manual",$M22=1),0,IF(OFFSET(CRONOPLE!$F$14,$M22,AM$13)="",10^12,OFFSET(CRONOPLE!$F$14,$M22,AM$13))))</f>
        <v>1000000000000</v>
      </c>
      <c r="AN22" s="180">
        <f ca="1">IF($D22&lt;&gt;"Serviço",0,IF(AND(AUTOEVENTO="Manual",$M22=1),0,IF(OFFSET(CRONOPLE!$F$14,$M22,AN$13)="",10^12,OFFSET(CRONOPLE!$F$14,$M22,AN$13))))</f>
        <v>1</v>
      </c>
      <c r="AO22" s="180">
        <f ca="1">IF($D22&lt;&gt;"Serviço",0,IF(AND(AUTOEVENTO="Manual",$M22=1),0,IF(OFFSET(CRONOPLE!$F$14,$M22,AO$13)="",10^12,OFFSET(CRONOPLE!$F$14,$M22,AO$13))))</f>
        <v>2</v>
      </c>
      <c r="AP22" s="180">
        <f ca="1">IF($D22&lt;&gt;"Serviço",0,IF(AND(AUTOEVENTO="Manual",$M22=1),0,IF(OFFSET(CRONOPLE!$F$14,$M22,AP$13)="",10^12,OFFSET(CRONOPLE!$F$14,$M22,AP$13))))</f>
        <v>5</v>
      </c>
      <c r="AQ22" s="180">
        <f ca="1">IF($D22&lt;&gt;"Serviço",0,IF(AND(AUTOEVENTO="Manual",$M22=1),0,IF(OFFSET(CRONOPLE!$F$14,$M22,AQ$13)="",10^12,OFFSET(CRONOPLE!$F$14,$M22,AQ$13))))</f>
        <v>6</v>
      </c>
      <c r="AR22" s="180">
        <f ca="1">IF($D22&lt;&gt;"Serviço",0,IF(AND(AUTOEVENTO="Manual",$M22=1),0,IF(OFFSET(CRONOPLE!$F$14,$M22,AR$13)="",10^12,OFFSET(CRONOPLE!$F$14,$M22,AR$13))))</f>
        <v>4</v>
      </c>
      <c r="AS22" s="180">
        <f ca="1">IF($D22&lt;&gt;"Serviço",0,IF(AND(AUTOEVENTO="Manual",$M22=1),0,IF(OFFSET(CRONOPLE!$F$14,$M22,AS$13)="",10^12,OFFSET(CRONOPLE!$F$14,$M22,AS$13))))</f>
        <v>1000000000000</v>
      </c>
      <c r="AT22" s="180">
        <f ca="1">IF($D22&lt;&gt;"Serviço",0,IF(AND(AUTOEVENTO="Manual",$M22=1),0,IF(OFFSET(CRONOPLE!$F$14,$M22,AT$13)="",10^12,OFFSET(CRONOPLE!$F$14,$M22,AT$13))))</f>
        <v>1000000000000</v>
      </c>
      <c r="AU22" s="180">
        <f ca="1">IF($D22&lt;&gt;"Serviço",0,IF(AND(AUTOEVENTO="Manual",$M22=1),0,IF(OFFSET(CRONOPLE!$F$14,$M22,AU$13)="",10^12,OFFSET(CRONOPLE!$F$14,$M22,AU$13))))</f>
        <v>1000000000000</v>
      </c>
      <c r="AV22" s="180">
        <f ca="1">IF($D22&lt;&gt;"Serviço",0,IF(AND(AUTOEVENTO="Manual",$M22=1),0,IF(OFFSET(CRONOPLE!$F$14,$M22,AV$13)="",10^12,OFFSET(CRONOPLE!$F$14,$M22,AV$13))))</f>
        <v>1000000000000</v>
      </c>
      <c r="AX22" s="181">
        <f ca="1">IF($D22&lt;&gt;"Serviço",0,IF(OR(AND(AUTOEVENTO="Manual",$M22=1),$M22&gt;(ROW(PLE.lastrow)-ROW(PLE.firstrow))),0,IF(OFFSET(PLE!$G$14,$M22,AX$13)="",10^12,OFFSET(PLE!$G$14,$M22,AX$13))))</f>
        <v>1000000000000</v>
      </c>
      <c r="AY22" s="181">
        <f ca="1">IF($D22&lt;&gt;"Serviço",0,IF(OR(AND(AUTOEVENTO="Manual",$M22=1),$M22&gt;(ROW(PLE.lastrow)-ROW(PLE.firstrow))),0,IF(OFFSET(PLE!$G$14,$M22,AY$13)="",10^12,OFFSET(PLE!$G$14,$M22,AY$13))))</f>
        <v>1000000000000</v>
      </c>
      <c r="AZ22" s="181">
        <f ca="1">IF($D22&lt;&gt;"Serviço",0,IF(OR(AND(AUTOEVENTO="Manual",$M22=1),$M22&gt;(ROW(PLE.lastrow)-ROW(PLE.firstrow))),0,IF(OFFSET(PLE!$G$14,$M22,AZ$13)="",10^12,OFFSET(PLE!$G$14,$M22,AZ$13))))</f>
        <v>1000000000000</v>
      </c>
      <c r="BA22" s="181">
        <f ca="1">IF($D22&lt;&gt;"Serviço",0,IF(OR(AND(AUTOEVENTO="Manual",$M22=1),$M22&gt;(ROW(PLE.lastrow)-ROW(PLE.firstrow))),0,IF(OFFSET(PLE!$G$14,$M22,BA$13)="",10^12,OFFSET(PLE!$G$14,$M22,BA$13))))</f>
        <v>1000000000000</v>
      </c>
      <c r="BB22" s="181">
        <f ca="1">IF($D22&lt;&gt;"Serviço",0,IF(OR(AND(AUTOEVENTO="Manual",$M22=1),$M22&gt;(ROW(PLE.lastrow)-ROW(PLE.firstrow))),0,IF(OFFSET(PLE!$G$14,$M22,BB$13)="",10^12,OFFSET(PLE!$G$14,$M22,BB$13))))</f>
        <v>1000000000000</v>
      </c>
      <c r="BC22" s="181">
        <f ca="1">IF($D22&lt;&gt;"Serviço",0,IF(OR(AND(AUTOEVENTO="Manual",$M22=1),$M22&gt;(ROW(PLE.lastrow)-ROW(PLE.firstrow))),0,IF(OFFSET(PLE!$G$14,$M22,BC$13)="",10^12,OFFSET(PLE!$G$14,$M22,BC$13))))</f>
        <v>1000000000000</v>
      </c>
      <c r="BD22" s="181">
        <f ca="1">IF($D22&lt;&gt;"Serviço",0,IF(OR(AND(AUTOEVENTO="Manual",$M22=1),$M22&gt;(ROW(PLE.lastrow)-ROW(PLE.firstrow))),0,IF(OFFSET(PLE!$G$14,$M22,BD$13)="",10^12,OFFSET(PLE!$G$14,$M22,BD$13))))</f>
        <v>1000000000000</v>
      </c>
      <c r="BE22" s="181">
        <f ca="1">IF($D22&lt;&gt;"Serviço",0,IF(OR(AND(AUTOEVENTO="Manual",$M22=1),$M22&gt;(ROW(PLE.lastrow)-ROW(PLE.firstrow))),0,IF(OFFSET(PLE!$G$14,$M22,BE$13)="",10^12,OFFSET(PLE!$G$14,$M22,BE$13))))</f>
        <v>1000000000000</v>
      </c>
      <c r="BF22" s="181">
        <f ca="1">IF($D22&lt;&gt;"Serviço",0,IF(OR(AND(AUTOEVENTO="Manual",$M22=1),$M22&gt;(ROW(PLE.lastrow)-ROW(PLE.firstrow))),0,IF(OFFSET(PLE!$G$14,$M22,BF$13)="",10^12,OFFSET(PLE!$G$14,$M22,BF$13))))</f>
        <v>1000000000000</v>
      </c>
      <c r="BG22" s="181">
        <f ca="1">IF($D22&lt;&gt;"Serviço",0,IF(OR(AND(AUTOEVENTO="Manual",$M22=1),$M22&gt;(ROW(PLE.lastrow)-ROW(PLE.firstrow))),0,IF(OFFSET(PLE!$G$14,$M22,BG$13)="",10^12,OFFSET(PLE!$G$14,$M22,BG$13))))</f>
        <v>1000000000000</v>
      </c>
    </row>
    <row r="23" spans="1:59" ht="12.75" x14ac:dyDescent="0.2">
      <c r="A23" s="7">
        <f t="shared" ca="1" si="8"/>
        <v>3</v>
      </c>
      <c r="B23" s="7">
        <f ca="1">OFFSET(ORÇAMENTO!C$15,ROW(B23)-ROW(B$15),0)</f>
        <v>2</v>
      </c>
      <c r="C23" s="7" t="str">
        <f ca="1">OFFSET(ORÇAMENTO!L$15,ROW(C23)-ROW(C$15),0)</f>
        <v>F</v>
      </c>
      <c r="D23" s="118" t="str">
        <f ca="1">OFFSET(ORÇAMENTO!N$15,ROW(D23)-ROW(D$15),0)</f>
        <v>Nível 2</v>
      </c>
      <c r="E23" s="119" t="str">
        <f ca="1">OFFSET(ORÇAMENTO!O$15,ROW(E23)-ROW(E$15),0)</f>
        <v>1.4.</v>
      </c>
      <c r="F23" s="171" t="str">
        <f ca="1">OFFSET(ORÇAMENTO!R$15,ROW(F23)-ROW(F$15),0)</f>
        <v>PAVIMENTAÇÃO - PISTA</v>
      </c>
      <c r="G23" s="172" t="str">
        <f ca="1">IF($D23&lt;&gt;"Serviço","",OFFSET(ORÇAMENTO!S$15,ROW(G23)-ROW(G$15),0))</f>
        <v/>
      </c>
      <c r="H23" s="124">
        <f ca="1">IF($D23&lt;&gt;"Serviço",0,IF(ACOMPANHAMENTO="BM",ROUND(OFFSET(ORÇAMENTO!AJ$15,ROW(H23)-ROW(H$15),0),15-13*ORÇAMENTO!$AF$7),SUMPRODUCT(($Q$12:$AA$12&lt;&gt;"")*ROUND($Q23:$AA23,15-13*ORÇAMENTO!$AF$7))))</f>
        <v>0</v>
      </c>
      <c r="I23" s="561"/>
      <c r="K23" s="173" t="s">
        <v>456</v>
      </c>
      <c r="L23" s="174" t="s">
        <v>257</v>
      </c>
      <c r="M23" s="175" t="str">
        <f ca="1">IF($D23&lt;&gt;"Serviço","",IF(AUTOEVENTO="manual",$A23,IF(ISERROR(MATCH($A23,$A$15:OFFSET($A23,-1,0),0)),MAX($M$15:OFFSET(M23,-1,0))+1,INDEX($M$15:OFFSET(M23,-1,0),MATCH($A23,$A$15:OFFSET($A23,-1,0),0)))))</f>
        <v/>
      </c>
      <c r="N23" s="176" t="str">
        <f ca="1">IF($D23&lt;&gt;"Serviço","",IF(AUTOEVENTO="Manual",IF($A23=0,"&lt;-- defina o número do agrupador",OFFSET(EVENTOS!$D$14,$A23,0)),OFFSET($F$15,$A23,0)))</f>
        <v/>
      </c>
      <c r="O23" s="177"/>
      <c r="Q23" s="177"/>
      <c r="R23" s="178"/>
      <c r="S23" s="178"/>
      <c r="T23" s="178"/>
      <c r="U23" s="178"/>
      <c r="V23" s="178"/>
      <c r="W23" s="178"/>
      <c r="X23" s="178"/>
      <c r="Y23" s="178"/>
      <c r="Z23" s="179"/>
      <c r="AB23" s="544">
        <f ca="1">IF(AND($D23="Serviço",AB$12&lt;&gt;0,$H23&gt;0,OR(AUTOEVENTO&lt;&gt;"manual",$M23&lt;&gt;1)),ROUND(OFFSET($P23,0,AB$13),15-13*ORÇAMENTO!$AF$7)/$H23*OFFSET(ORÇAMENTO!$X$15,ROW(AB23)-ROW(AB$15),0),0)</f>
        <v>0</v>
      </c>
      <c r="AC23" s="545">
        <f ca="1">IF(AND($D23="Serviço",AC$12&lt;&gt;0,$H23&gt;0,OR(AUTOEVENTO&lt;&gt;"manual",$M23&lt;&gt;1)),ROUND(OFFSET($P23,0,AC$13),15-13*ORÇAMENTO!$AF$7)/$H23*OFFSET(ORÇAMENTO!$X$15,ROW(AC23)-ROW(AC$15),0),0)</f>
        <v>0</v>
      </c>
      <c r="AD23" s="545">
        <f ca="1">IF(AND($D23="Serviço",AD$12&lt;&gt;0,$H23&gt;0,OR(AUTOEVENTO&lt;&gt;"manual",$M23&lt;&gt;1)),ROUND(OFFSET($P23,0,AD$13),15-13*ORÇAMENTO!$AF$7)/$H23*OFFSET(ORÇAMENTO!$X$15,ROW(AD23)-ROW(AD$15),0),0)</f>
        <v>0</v>
      </c>
      <c r="AE23" s="545">
        <f ca="1">IF(AND($D23="Serviço",AE$12&lt;&gt;0,$H23&gt;0,OR(AUTOEVENTO&lt;&gt;"manual",$M23&lt;&gt;1)),ROUND(OFFSET($P23,0,AE$13),15-13*ORÇAMENTO!$AF$7)/$H23*OFFSET(ORÇAMENTO!$X$15,ROW(AE23)-ROW(AE$15),0),0)</f>
        <v>0</v>
      </c>
      <c r="AF23" s="545">
        <f ca="1">IF(AND($D23="Serviço",AF$12&lt;&gt;0,$H23&gt;0,OR(AUTOEVENTO&lt;&gt;"manual",$M23&lt;&gt;1)),ROUND(OFFSET($P23,0,AF$13),15-13*ORÇAMENTO!$AF$7)/$H23*OFFSET(ORÇAMENTO!$X$15,ROW(AF23)-ROW(AF$15),0),0)</f>
        <v>0</v>
      </c>
      <c r="AG23" s="545">
        <f ca="1">IF(AND($D23="Serviço",AG$12&lt;&gt;0,$H23&gt;0,OR(AUTOEVENTO&lt;&gt;"manual",$M23&lt;&gt;1)),ROUND(OFFSET($P23,0,AG$13),15-13*ORÇAMENTO!$AF$7)/$H23*OFFSET(ORÇAMENTO!$X$15,ROW(AG23)-ROW(AG$15),0),0)</f>
        <v>0</v>
      </c>
      <c r="AH23" s="545">
        <f ca="1">IF(AND($D23="Serviço",AH$12&lt;&gt;0,$H23&gt;0,OR(AUTOEVENTO&lt;&gt;"manual",$M23&lt;&gt;1)),ROUND(OFFSET($P23,0,AH$13),15-13*ORÇAMENTO!$AF$7)/$H23*OFFSET(ORÇAMENTO!$X$15,ROW(AH23)-ROW(AH$15),0),0)</f>
        <v>0</v>
      </c>
      <c r="AI23" s="545">
        <f ca="1">IF(AND($D23="Serviço",AI$12&lt;&gt;0,$H23&gt;0,OR(AUTOEVENTO&lt;&gt;"manual",$M23&lt;&gt;1)),ROUND(OFFSET($P23,0,AI$13),15-13*ORÇAMENTO!$AF$7)/$H23*OFFSET(ORÇAMENTO!$X$15,ROW(AI23)-ROW(AI$15),0),0)</f>
        <v>0</v>
      </c>
      <c r="AJ23" s="545">
        <f ca="1">IF(AND($D23="Serviço",AJ$12&lt;&gt;0,$H23&gt;0,OR(AUTOEVENTO&lt;&gt;"manual",$M23&lt;&gt;1)),ROUND(OFFSET($P23,0,AJ$13),15-13*ORÇAMENTO!$AF$7)/$H23*OFFSET(ORÇAMENTO!$X$15,ROW(AJ23)-ROW(AJ$15),0),0)</f>
        <v>0</v>
      </c>
      <c r="AK23" s="546">
        <f ca="1">IF(AND($D23="Serviço",AK$12&lt;&gt;0,$H23&gt;0,OR(AUTOEVENTO&lt;&gt;"manual",$M23&lt;&gt;1)),ROUND(OFFSET($P23,0,AK$13),15-13*ORÇAMENTO!$AF$7)/$H23*OFFSET(ORÇAMENTO!$X$15,ROW(AK23)-ROW(AK$15),0),0)</f>
        <v>0</v>
      </c>
      <c r="AM23" s="180">
        <f ca="1">IF($D23&lt;&gt;"Serviço",0,IF(AND(AUTOEVENTO="Manual",$M23=1),0,IF(OFFSET(CRONOPLE!$F$14,$M23,AM$13)="",10^12,OFFSET(CRONOPLE!$F$14,$M23,AM$13))))</f>
        <v>0</v>
      </c>
      <c r="AN23" s="180">
        <f ca="1">IF($D23&lt;&gt;"Serviço",0,IF(AND(AUTOEVENTO="Manual",$M23=1),0,IF(OFFSET(CRONOPLE!$F$14,$M23,AN$13)="",10^12,OFFSET(CRONOPLE!$F$14,$M23,AN$13))))</f>
        <v>0</v>
      </c>
      <c r="AO23" s="180">
        <f ca="1">IF($D23&lt;&gt;"Serviço",0,IF(AND(AUTOEVENTO="Manual",$M23=1),0,IF(OFFSET(CRONOPLE!$F$14,$M23,AO$13)="",10^12,OFFSET(CRONOPLE!$F$14,$M23,AO$13))))</f>
        <v>0</v>
      </c>
      <c r="AP23" s="180">
        <f ca="1">IF($D23&lt;&gt;"Serviço",0,IF(AND(AUTOEVENTO="Manual",$M23=1),0,IF(OFFSET(CRONOPLE!$F$14,$M23,AP$13)="",10^12,OFFSET(CRONOPLE!$F$14,$M23,AP$13))))</f>
        <v>0</v>
      </c>
      <c r="AQ23" s="180">
        <f ca="1">IF($D23&lt;&gt;"Serviço",0,IF(AND(AUTOEVENTO="Manual",$M23=1),0,IF(OFFSET(CRONOPLE!$F$14,$M23,AQ$13)="",10^12,OFFSET(CRONOPLE!$F$14,$M23,AQ$13))))</f>
        <v>0</v>
      </c>
      <c r="AR23" s="180">
        <f ca="1">IF($D23&lt;&gt;"Serviço",0,IF(AND(AUTOEVENTO="Manual",$M23=1),0,IF(OFFSET(CRONOPLE!$F$14,$M23,AR$13)="",10^12,OFFSET(CRONOPLE!$F$14,$M23,AR$13))))</f>
        <v>0</v>
      </c>
      <c r="AS23" s="180">
        <f ca="1">IF($D23&lt;&gt;"Serviço",0,IF(AND(AUTOEVENTO="Manual",$M23=1),0,IF(OFFSET(CRONOPLE!$F$14,$M23,AS$13)="",10^12,OFFSET(CRONOPLE!$F$14,$M23,AS$13))))</f>
        <v>0</v>
      </c>
      <c r="AT23" s="180">
        <f ca="1">IF($D23&lt;&gt;"Serviço",0,IF(AND(AUTOEVENTO="Manual",$M23=1),0,IF(OFFSET(CRONOPLE!$F$14,$M23,AT$13)="",10^12,OFFSET(CRONOPLE!$F$14,$M23,AT$13))))</f>
        <v>0</v>
      </c>
      <c r="AU23" s="180">
        <f ca="1">IF($D23&lt;&gt;"Serviço",0,IF(AND(AUTOEVENTO="Manual",$M23=1),0,IF(OFFSET(CRONOPLE!$F$14,$M23,AU$13)="",10^12,OFFSET(CRONOPLE!$F$14,$M23,AU$13))))</f>
        <v>0</v>
      </c>
      <c r="AV23" s="180">
        <f ca="1">IF($D23&lt;&gt;"Serviço",0,IF(AND(AUTOEVENTO="Manual",$M23=1),0,IF(OFFSET(CRONOPLE!$F$14,$M23,AV$13)="",10^12,OFFSET(CRONOPLE!$F$14,$M23,AV$13))))</f>
        <v>0</v>
      </c>
      <c r="AX23" s="181">
        <f ca="1">IF($D23&lt;&gt;"Serviço",0,IF(OR(AND(AUTOEVENTO="Manual",$M23=1),$M23&gt;(ROW(PLE.lastrow)-ROW(PLE.firstrow))),0,IF(OFFSET(PLE!$G$14,$M23,AX$13)="",10^12,OFFSET(PLE!$G$14,$M23,AX$13))))</f>
        <v>0</v>
      </c>
      <c r="AY23" s="181">
        <f ca="1">IF($D23&lt;&gt;"Serviço",0,IF(OR(AND(AUTOEVENTO="Manual",$M23=1),$M23&gt;(ROW(PLE.lastrow)-ROW(PLE.firstrow))),0,IF(OFFSET(PLE!$G$14,$M23,AY$13)="",10^12,OFFSET(PLE!$G$14,$M23,AY$13))))</f>
        <v>0</v>
      </c>
      <c r="AZ23" s="181">
        <f ca="1">IF($D23&lt;&gt;"Serviço",0,IF(OR(AND(AUTOEVENTO="Manual",$M23=1),$M23&gt;(ROW(PLE.lastrow)-ROW(PLE.firstrow))),0,IF(OFFSET(PLE!$G$14,$M23,AZ$13)="",10^12,OFFSET(PLE!$G$14,$M23,AZ$13))))</f>
        <v>0</v>
      </c>
      <c r="BA23" s="181">
        <f ca="1">IF($D23&lt;&gt;"Serviço",0,IF(OR(AND(AUTOEVENTO="Manual",$M23=1),$M23&gt;(ROW(PLE.lastrow)-ROW(PLE.firstrow))),0,IF(OFFSET(PLE!$G$14,$M23,BA$13)="",10^12,OFFSET(PLE!$G$14,$M23,BA$13))))</f>
        <v>0</v>
      </c>
      <c r="BB23" s="181">
        <f ca="1">IF($D23&lt;&gt;"Serviço",0,IF(OR(AND(AUTOEVENTO="Manual",$M23=1),$M23&gt;(ROW(PLE.lastrow)-ROW(PLE.firstrow))),0,IF(OFFSET(PLE!$G$14,$M23,BB$13)="",10^12,OFFSET(PLE!$G$14,$M23,BB$13))))</f>
        <v>0</v>
      </c>
      <c r="BC23" s="181">
        <f ca="1">IF($D23&lt;&gt;"Serviço",0,IF(OR(AND(AUTOEVENTO="Manual",$M23=1),$M23&gt;(ROW(PLE.lastrow)-ROW(PLE.firstrow))),0,IF(OFFSET(PLE!$G$14,$M23,BC$13)="",10^12,OFFSET(PLE!$G$14,$M23,BC$13))))</f>
        <v>0</v>
      </c>
      <c r="BD23" s="181">
        <f ca="1">IF($D23&lt;&gt;"Serviço",0,IF(OR(AND(AUTOEVENTO="Manual",$M23=1),$M23&gt;(ROW(PLE.lastrow)-ROW(PLE.firstrow))),0,IF(OFFSET(PLE!$G$14,$M23,BD$13)="",10^12,OFFSET(PLE!$G$14,$M23,BD$13))))</f>
        <v>0</v>
      </c>
      <c r="BE23" s="181">
        <f ca="1">IF($D23&lt;&gt;"Serviço",0,IF(OR(AND(AUTOEVENTO="Manual",$M23=1),$M23&gt;(ROW(PLE.lastrow)-ROW(PLE.firstrow))),0,IF(OFFSET(PLE!$G$14,$M23,BE$13)="",10^12,OFFSET(PLE!$G$14,$M23,BE$13))))</f>
        <v>0</v>
      </c>
      <c r="BF23" s="181">
        <f ca="1">IF($D23&lt;&gt;"Serviço",0,IF(OR(AND(AUTOEVENTO="Manual",$M23=1),$M23&gt;(ROW(PLE.lastrow)-ROW(PLE.firstrow))),0,IF(OFFSET(PLE!$G$14,$M23,BF$13)="",10^12,OFFSET(PLE!$G$14,$M23,BF$13))))</f>
        <v>0</v>
      </c>
      <c r="BG23" s="181">
        <f ca="1">IF($D23&lt;&gt;"Serviço",0,IF(OR(AND(AUTOEVENTO="Manual",$M23=1),$M23&gt;(ROW(PLE.lastrow)-ROW(PLE.firstrow))),0,IF(OFFSET(PLE!$G$14,$M23,BG$13)="",10^12,OFFSET(PLE!$G$14,$M23,BG$13))))</f>
        <v>0</v>
      </c>
    </row>
    <row r="24" spans="1:59" ht="12.75" x14ac:dyDescent="0.2">
      <c r="A24" s="7">
        <f ca="1">IF(AUTOEVENTO="Manual",IF(K24&lt;&gt;"",MIN(VALUE(LEFT(K24,FIND(".",K24)-1)),COUNTA(EVENTOS.Lista)),0),IF(OR($B24&gt;AUTOEVENTO,$B24="S",$B24=0),SUBSTITUTE(OFFSET($A24,-1,0),IF($D24="Serviço",".",""),""),ROW(A24)-ROW($A$15)&amp;"."))</f>
        <v>3</v>
      </c>
      <c r="B24" s="7">
        <f ca="1">OFFSET(ORÇAMENTO!C$15,ROW(B24)-ROW(B$15),0)</f>
        <v>3</v>
      </c>
      <c r="C24" s="7" t="str">
        <f ca="1">OFFSET(ORÇAMENTO!L$15,ROW(C24)-ROW(C$15),0)</f>
        <v>F</v>
      </c>
      <c r="D24" s="118" t="str">
        <f ca="1">OFFSET(ORÇAMENTO!N$15,ROW(D24)-ROW(D$15),0)</f>
        <v>Nível 3</v>
      </c>
      <c r="E24" s="119" t="str">
        <f ca="1">OFFSET(ORÇAMENTO!O$15,ROW(E24)-ROW(E$15),0)</f>
        <v>1.4.1.</v>
      </c>
      <c r="F24" s="171" t="str">
        <f ca="1">OFFSET(ORÇAMENTO!R$15,ROW(F24)-ROW(F$15),0)</f>
        <v>Pavimentação da pista de rolamento com Paralelepípedo</v>
      </c>
      <c r="G24" s="172" t="str">
        <f ca="1">IF($D24&lt;&gt;"Serviço","",OFFSET(ORÇAMENTO!S$15,ROW(G24)-ROW(G$15),0))</f>
        <v/>
      </c>
      <c r="H24" s="124">
        <f ca="1">IF($D24&lt;&gt;"Serviço",0,IF(ACOMPANHAMENTO="BM",ROUND(OFFSET(ORÇAMENTO!AJ$15,ROW(H24)-ROW(H$15),0),15-13*ORÇAMENTO!$AF$7),SUMPRODUCT(($Q$12:$AA$12&lt;&gt;"")*ROUND($Q24:$AA24,15-13*ORÇAMENTO!$AF$7))))</f>
        <v>0</v>
      </c>
      <c r="I24" s="561"/>
      <c r="K24" s="173" t="s">
        <v>456</v>
      </c>
      <c r="L24" s="174" t="s">
        <v>257</v>
      </c>
      <c r="M24" s="175" t="str">
        <f ca="1">IF($D24&lt;&gt;"Serviço","",IF(AUTOEVENTO="manual",$A24,IF(ISERROR(MATCH($A24,$A$15:OFFSET($A24,-1,0),0)),MAX($M$15:OFFSET(M24,-1,0))+1,INDEX($M$15:OFFSET(M24,-1,0),MATCH($A24,$A$15:OFFSET($A24,-1,0),0)))))</f>
        <v/>
      </c>
      <c r="N24" s="176" t="str">
        <f ca="1">IF($D24&lt;&gt;"Serviço","",IF(AUTOEVENTO="Manual",IF($A24=0,"&lt;-- defina o número do agrupador",OFFSET(EVENTOS!$D$14,$A24,0)),OFFSET($F$15,$A24,0)))</f>
        <v/>
      </c>
      <c r="O24" s="177"/>
      <c r="Q24" s="177"/>
      <c r="R24" s="178"/>
      <c r="S24" s="178"/>
      <c r="T24" s="178"/>
      <c r="U24" s="178"/>
      <c r="V24" s="178"/>
      <c r="W24" s="178"/>
      <c r="X24" s="178"/>
      <c r="Y24" s="178"/>
      <c r="Z24" s="179"/>
      <c r="AB24" s="544">
        <f ca="1">IF(AND($D24="Serviço",AB$12&lt;&gt;0,$H24&gt;0,OR(AUTOEVENTO&lt;&gt;"manual",$M24&lt;&gt;1)),ROUND(OFFSET($P24,0,AB$13),15-13*ORÇAMENTO!$AF$7)/$H24*OFFSET(ORÇAMENTO!$X$15,ROW(AB24)-ROW(AB$15),0),0)</f>
        <v>0</v>
      </c>
      <c r="AC24" s="545">
        <f ca="1">IF(AND($D24="Serviço",AC$12&lt;&gt;0,$H24&gt;0,OR(AUTOEVENTO&lt;&gt;"manual",$M24&lt;&gt;1)),ROUND(OFFSET($P24,0,AC$13),15-13*ORÇAMENTO!$AF$7)/$H24*OFFSET(ORÇAMENTO!$X$15,ROW(AC24)-ROW(AC$15),0),0)</f>
        <v>0</v>
      </c>
      <c r="AD24" s="545">
        <f ca="1">IF(AND($D24="Serviço",AD$12&lt;&gt;0,$H24&gt;0,OR(AUTOEVENTO&lt;&gt;"manual",$M24&lt;&gt;1)),ROUND(OFFSET($P24,0,AD$13),15-13*ORÇAMENTO!$AF$7)/$H24*OFFSET(ORÇAMENTO!$X$15,ROW(AD24)-ROW(AD$15),0),0)</f>
        <v>0</v>
      </c>
      <c r="AE24" s="545">
        <f ca="1">IF(AND($D24="Serviço",AE$12&lt;&gt;0,$H24&gt;0,OR(AUTOEVENTO&lt;&gt;"manual",$M24&lt;&gt;1)),ROUND(OFFSET($P24,0,AE$13),15-13*ORÇAMENTO!$AF$7)/$H24*OFFSET(ORÇAMENTO!$X$15,ROW(AE24)-ROW(AE$15),0),0)</f>
        <v>0</v>
      </c>
      <c r="AF24" s="545">
        <f ca="1">IF(AND($D24="Serviço",AF$12&lt;&gt;0,$H24&gt;0,OR(AUTOEVENTO&lt;&gt;"manual",$M24&lt;&gt;1)),ROUND(OFFSET($P24,0,AF$13),15-13*ORÇAMENTO!$AF$7)/$H24*OFFSET(ORÇAMENTO!$X$15,ROW(AF24)-ROW(AF$15),0),0)</f>
        <v>0</v>
      </c>
      <c r="AG24" s="545">
        <f ca="1">IF(AND($D24="Serviço",AG$12&lt;&gt;0,$H24&gt;0,OR(AUTOEVENTO&lt;&gt;"manual",$M24&lt;&gt;1)),ROUND(OFFSET($P24,0,AG$13),15-13*ORÇAMENTO!$AF$7)/$H24*OFFSET(ORÇAMENTO!$X$15,ROW(AG24)-ROW(AG$15),0),0)</f>
        <v>0</v>
      </c>
      <c r="AH24" s="545">
        <f ca="1">IF(AND($D24="Serviço",AH$12&lt;&gt;0,$H24&gt;0,OR(AUTOEVENTO&lt;&gt;"manual",$M24&lt;&gt;1)),ROUND(OFFSET($P24,0,AH$13),15-13*ORÇAMENTO!$AF$7)/$H24*OFFSET(ORÇAMENTO!$X$15,ROW(AH24)-ROW(AH$15),0),0)</f>
        <v>0</v>
      </c>
      <c r="AI24" s="545">
        <f ca="1">IF(AND($D24="Serviço",AI$12&lt;&gt;0,$H24&gt;0,OR(AUTOEVENTO&lt;&gt;"manual",$M24&lt;&gt;1)),ROUND(OFFSET($P24,0,AI$13),15-13*ORÇAMENTO!$AF$7)/$H24*OFFSET(ORÇAMENTO!$X$15,ROW(AI24)-ROW(AI$15),0),0)</f>
        <v>0</v>
      </c>
      <c r="AJ24" s="545">
        <f ca="1">IF(AND($D24="Serviço",AJ$12&lt;&gt;0,$H24&gt;0,OR(AUTOEVENTO&lt;&gt;"manual",$M24&lt;&gt;1)),ROUND(OFFSET($P24,0,AJ$13),15-13*ORÇAMENTO!$AF$7)/$H24*OFFSET(ORÇAMENTO!$X$15,ROW(AJ24)-ROW(AJ$15),0),0)</f>
        <v>0</v>
      </c>
      <c r="AK24" s="546">
        <f ca="1">IF(AND($D24="Serviço",AK$12&lt;&gt;0,$H24&gt;0,OR(AUTOEVENTO&lt;&gt;"manual",$M24&lt;&gt;1)),ROUND(OFFSET($P24,0,AK$13),15-13*ORÇAMENTO!$AF$7)/$H24*OFFSET(ORÇAMENTO!$X$15,ROW(AK24)-ROW(AK$15),0),0)</f>
        <v>0</v>
      </c>
      <c r="AM24" s="180">
        <f ca="1">IF($D24&lt;&gt;"Serviço",0,IF(AND(AUTOEVENTO="Manual",$M24=1),0,IF(OFFSET(CRONOPLE!$F$14,$M24,AM$13)="",10^12,OFFSET(CRONOPLE!$F$14,$M24,AM$13))))</f>
        <v>0</v>
      </c>
      <c r="AN24" s="180">
        <f ca="1">IF($D24&lt;&gt;"Serviço",0,IF(AND(AUTOEVENTO="Manual",$M24=1),0,IF(OFFSET(CRONOPLE!$F$14,$M24,AN$13)="",10^12,OFFSET(CRONOPLE!$F$14,$M24,AN$13))))</f>
        <v>0</v>
      </c>
      <c r="AO24" s="180">
        <f ca="1">IF($D24&lt;&gt;"Serviço",0,IF(AND(AUTOEVENTO="Manual",$M24=1),0,IF(OFFSET(CRONOPLE!$F$14,$M24,AO$13)="",10^12,OFFSET(CRONOPLE!$F$14,$M24,AO$13))))</f>
        <v>0</v>
      </c>
      <c r="AP24" s="180">
        <f ca="1">IF($D24&lt;&gt;"Serviço",0,IF(AND(AUTOEVENTO="Manual",$M24=1),0,IF(OFFSET(CRONOPLE!$F$14,$M24,AP$13)="",10^12,OFFSET(CRONOPLE!$F$14,$M24,AP$13))))</f>
        <v>0</v>
      </c>
      <c r="AQ24" s="180">
        <f ca="1">IF($D24&lt;&gt;"Serviço",0,IF(AND(AUTOEVENTO="Manual",$M24=1),0,IF(OFFSET(CRONOPLE!$F$14,$M24,AQ$13)="",10^12,OFFSET(CRONOPLE!$F$14,$M24,AQ$13))))</f>
        <v>0</v>
      </c>
      <c r="AR24" s="180">
        <f ca="1">IF($D24&lt;&gt;"Serviço",0,IF(AND(AUTOEVENTO="Manual",$M24=1),0,IF(OFFSET(CRONOPLE!$F$14,$M24,AR$13)="",10^12,OFFSET(CRONOPLE!$F$14,$M24,AR$13))))</f>
        <v>0</v>
      </c>
      <c r="AS24" s="180">
        <f ca="1">IF($D24&lt;&gt;"Serviço",0,IF(AND(AUTOEVENTO="Manual",$M24=1),0,IF(OFFSET(CRONOPLE!$F$14,$M24,AS$13)="",10^12,OFFSET(CRONOPLE!$F$14,$M24,AS$13))))</f>
        <v>0</v>
      </c>
      <c r="AT24" s="180">
        <f ca="1">IF($D24&lt;&gt;"Serviço",0,IF(AND(AUTOEVENTO="Manual",$M24=1),0,IF(OFFSET(CRONOPLE!$F$14,$M24,AT$13)="",10^12,OFFSET(CRONOPLE!$F$14,$M24,AT$13))))</f>
        <v>0</v>
      </c>
      <c r="AU24" s="180">
        <f ca="1">IF($D24&lt;&gt;"Serviço",0,IF(AND(AUTOEVENTO="Manual",$M24=1),0,IF(OFFSET(CRONOPLE!$F$14,$M24,AU$13)="",10^12,OFFSET(CRONOPLE!$F$14,$M24,AU$13))))</f>
        <v>0</v>
      </c>
      <c r="AV24" s="180">
        <f ca="1">IF($D24&lt;&gt;"Serviço",0,IF(AND(AUTOEVENTO="Manual",$M24=1),0,IF(OFFSET(CRONOPLE!$F$14,$M24,AV$13)="",10^12,OFFSET(CRONOPLE!$F$14,$M24,AV$13))))</f>
        <v>0</v>
      </c>
      <c r="AX24" s="181">
        <f ca="1">IF($D24&lt;&gt;"Serviço",0,IF(OR(AND(AUTOEVENTO="Manual",$M24=1),$M24&gt;(ROW(PLE.lastrow)-ROW(PLE.firstrow))),0,IF(OFFSET(PLE!$G$14,$M24,AX$13)="",10^12,OFFSET(PLE!$G$14,$M24,AX$13))))</f>
        <v>0</v>
      </c>
      <c r="AY24" s="181">
        <f ca="1">IF($D24&lt;&gt;"Serviço",0,IF(OR(AND(AUTOEVENTO="Manual",$M24=1),$M24&gt;(ROW(PLE.lastrow)-ROW(PLE.firstrow))),0,IF(OFFSET(PLE!$G$14,$M24,AY$13)="",10^12,OFFSET(PLE!$G$14,$M24,AY$13))))</f>
        <v>0</v>
      </c>
      <c r="AZ24" s="181">
        <f ca="1">IF($D24&lt;&gt;"Serviço",0,IF(OR(AND(AUTOEVENTO="Manual",$M24=1),$M24&gt;(ROW(PLE.lastrow)-ROW(PLE.firstrow))),0,IF(OFFSET(PLE!$G$14,$M24,AZ$13)="",10^12,OFFSET(PLE!$G$14,$M24,AZ$13))))</f>
        <v>0</v>
      </c>
      <c r="BA24" s="181">
        <f ca="1">IF($D24&lt;&gt;"Serviço",0,IF(OR(AND(AUTOEVENTO="Manual",$M24=1),$M24&gt;(ROW(PLE.lastrow)-ROW(PLE.firstrow))),0,IF(OFFSET(PLE!$G$14,$M24,BA$13)="",10^12,OFFSET(PLE!$G$14,$M24,BA$13))))</f>
        <v>0</v>
      </c>
      <c r="BB24" s="181">
        <f ca="1">IF($D24&lt;&gt;"Serviço",0,IF(OR(AND(AUTOEVENTO="Manual",$M24=1),$M24&gt;(ROW(PLE.lastrow)-ROW(PLE.firstrow))),0,IF(OFFSET(PLE!$G$14,$M24,BB$13)="",10^12,OFFSET(PLE!$G$14,$M24,BB$13))))</f>
        <v>0</v>
      </c>
      <c r="BC24" s="181">
        <f ca="1">IF($D24&lt;&gt;"Serviço",0,IF(OR(AND(AUTOEVENTO="Manual",$M24=1),$M24&gt;(ROW(PLE.lastrow)-ROW(PLE.firstrow))),0,IF(OFFSET(PLE!$G$14,$M24,BC$13)="",10^12,OFFSET(PLE!$G$14,$M24,BC$13))))</f>
        <v>0</v>
      </c>
      <c r="BD24" s="181">
        <f ca="1">IF($D24&lt;&gt;"Serviço",0,IF(OR(AND(AUTOEVENTO="Manual",$M24=1),$M24&gt;(ROW(PLE.lastrow)-ROW(PLE.firstrow))),0,IF(OFFSET(PLE!$G$14,$M24,BD$13)="",10^12,OFFSET(PLE!$G$14,$M24,BD$13))))</f>
        <v>0</v>
      </c>
      <c r="BE24" s="181">
        <f ca="1">IF($D24&lt;&gt;"Serviço",0,IF(OR(AND(AUTOEVENTO="Manual",$M24=1),$M24&gt;(ROW(PLE.lastrow)-ROW(PLE.firstrow))),0,IF(OFFSET(PLE!$G$14,$M24,BE$13)="",10^12,OFFSET(PLE!$G$14,$M24,BE$13))))</f>
        <v>0</v>
      </c>
      <c r="BF24" s="181">
        <f ca="1">IF($D24&lt;&gt;"Serviço",0,IF(OR(AND(AUTOEVENTO="Manual",$M24=1),$M24&gt;(ROW(PLE.lastrow)-ROW(PLE.firstrow))),0,IF(OFFSET(PLE!$G$14,$M24,BF$13)="",10^12,OFFSET(PLE!$G$14,$M24,BF$13))))</f>
        <v>0</v>
      </c>
      <c r="BG24" s="181">
        <f ca="1">IF($D24&lt;&gt;"Serviço",0,IF(OR(AND(AUTOEVENTO="Manual",$M24=1),$M24&gt;(ROW(PLE.lastrow)-ROW(PLE.firstrow))),0,IF(OFFSET(PLE!$G$14,$M24,BG$13)="",10^12,OFFSET(PLE!$G$14,$M24,BG$13))))</f>
        <v>0</v>
      </c>
    </row>
    <row r="25" spans="1:59" ht="38.25" x14ac:dyDescent="0.2">
      <c r="A25" s="7">
        <f ca="1">IF(AUTOEVENTO="Manual",IF(K25&lt;&gt;"",MIN(VALUE(LEFT(K25,FIND(".",K25)-1)),COUNTA(EVENTOS.Lista)),0),IF(OR($B25&gt;AUTOEVENTO,$B25="S",$B25=0),SUBSTITUTE(OFFSET($A25,-1,0),IF($D25="Serviço",".",""),""),ROW(A25)-ROW($A$15)&amp;"."))</f>
        <v>4</v>
      </c>
      <c r="B25" s="7" t="str">
        <f ca="1">OFFSET(ORÇAMENTO!C$15,ROW(B25)-ROW(B$15),0)</f>
        <v>S</v>
      </c>
      <c r="C25" s="7" t="str">
        <f ca="1">OFFSET(ORÇAMENTO!L$15,ROW(C25)-ROW(C$15),0)</f>
        <v/>
      </c>
      <c r="D25" s="118" t="str">
        <f ca="1">OFFSET(ORÇAMENTO!N$15,ROW(D25)-ROW(D$15),0)</f>
        <v>Serviço</v>
      </c>
      <c r="E25" s="119" t="str">
        <f ca="1">OFFSET(ORÇAMENTO!O$15,ROW(E25)-ROW(E$15),0)</f>
        <v>-</v>
      </c>
      <c r="F25" s="171" t="str">
        <f ca="1">OFFSET(ORÇAMENTO!R$15,ROW(F25)-ROW(F$15),0)</f>
        <v>(abra o arquivo 'Referência 04-2024.xls)</v>
      </c>
      <c r="G25" s="172" t="str">
        <f ca="1">IF($D25&lt;&gt;"Serviço","",OFFSET(ORÇAMENTO!S$15,ROW(G25)-ROW(G$15),0))</f>
        <v>-</v>
      </c>
      <c r="H25" s="124">
        <f ca="1">IF($D25&lt;&gt;"Serviço",0,IF(ACOMPANHAMENTO="BM",ROUND(OFFSET(ORÇAMENTO!AJ$15,ROW(H25)-ROW(H$15),0),15-13*ORÇAMENTO!$AF$7),SUMPRODUCT(($Q$12:$AA$12&lt;&gt;"")*ROUND($Q25:$AA25,15-13*ORÇAMENTO!$AF$7))))</f>
        <v>310</v>
      </c>
      <c r="I25" s="561" t="s">
        <v>464</v>
      </c>
      <c r="K25" s="173" t="s">
        <v>475</v>
      </c>
      <c r="L25" s="174" t="s">
        <v>257</v>
      </c>
      <c r="M25" s="175">
        <f ca="1">IF($D25&lt;&gt;"Serviço","",IF(AUTOEVENTO="manual",$A25,IF(ISERROR(MATCH($A25,$A$15:OFFSET($A25,-1,0),0)),MAX($M$15:OFFSET(M25,-1,0))+1,INDEX($M$15:OFFSET(M25,-1,0),MATCH($A25,$A$15:OFFSET($A25,-1,0),0)))))</f>
        <v>4</v>
      </c>
      <c r="N25" s="176" t="str">
        <f ca="1">IF($D25&lt;&gt;"Serviço","",IF(AUTOEVENTO="Manual",IF($A25=0,"&lt;-- defina o número do agrupador",OFFSET(EVENTOS!$D$14,$A25,0)),OFFSET($F$15,$A25,0)))</f>
        <v>Pavimantação - Pista</v>
      </c>
      <c r="O25" s="177"/>
      <c r="Q25" s="177"/>
      <c r="R25" s="178">
        <f>R22</f>
        <v>310</v>
      </c>
      <c r="S25" s="178"/>
      <c r="T25" s="178"/>
      <c r="U25" s="178"/>
      <c r="V25" s="178"/>
      <c r="W25" s="178"/>
      <c r="X25" s="178"/>
      <c r="Y25" s="178"/>
      <c r="Z25" s="179"/>
      <c r="AB25" s="544">
        <f ca="1">IF(AND($D25="Serviço",AB$12&lt;&gt;0,$H25&gt;0,OR(AUTOEVENTO&lt;&gt;"manual",$M25&lt;&gt;1)),ROUND(OFFSET($P25,0,AB$13),15-13*ORÇAMENTO!$AF$7)/$H25*OFFSET(ORÇAMENTO!$X$15,ROW(AB25)-ROW(AB$15),0),0)</f>
        <v>0</v>
      </c>
      <c r="AC25" s="545">
        <f ca="1">IF(AND($D25="Serviço",AC$12&lt;&gt;0,$H25&gt;0,OR(AUTOEVENTO&lt;&gt;"manual",$M25&lt;&gt;1)),ROUND(OFFSET($P25,0,AC$13),15-13*ORÇAMENTO!$AF$7)/$H25*OFFSET(ORÇAMENTO!$X$15,ROW(AC25)-ROW(AC$15),0),0)</f>
        <v>0</v>
      </c>
      <c r="AD25" s="545">
        <f ca="1">IF(AND($D25="Serviço",AD$12&lt;&gt;0,$H25&gt;0,OR(AUTOEVENTO&lt;&gt;"manual",$M25&lt;&gt;1)),ROUND(OFFSET($P25,0,AD$13),15-13*ORÇAMENTO!$AF$7)/$H25*OFFSET(ORÇAMENTO!$X$15,ROW(AD25)-ROW(AD$15),0),0)</f>
        <v>0</v>
      </c>
      <c r="AE25" s="545">
        <f ca="1">IF(AND($D25="Serviço",AE$12&lt;&gt;0,$H25&gt;0,OR(AUTOEVENTO&lt;&gt;"manual",$M25&lt;&gt;1)),ROUND(OFFSET($P25,0,AE$13),15-13*ORÇAMENTO!$AF$7)/$H25*OFFSET(ORÇAMENTO!$X$15,ROW(AE25)-ROW(AE$15),0),0)</f>
        <v>0</v>
      </c>
      <c r="AF25" s="545">
        <f ca="1">IF(AND($D25="Serviço",AF$12&lt;&gt;0,$H25&gt;0,OR(AUTOEVENTO&lt;&gt;"manual",$M25&lt;&gt;1)),ROUND(OFFSET($P25,0,AF$13),15-13*ORÇAMENTO!$AF$7)/$H25*OFFSET(ORÇAMENTO!$X$15,ROW(AF25)-ROW(AF$15),0),0)</f>
        <v>0</v>
      </c>
      <c r="AG25" s="545">
        <f ca="1">IF(AND($D25="Serviço",AG$12&lt;&gt;0,$H25&gt;0,OR(AUTOEVENTO&lt;&gt;"manual",$M25&lt;&gt;1)),ROUND(OFFSET($P25,0,AG$13),15-13*ORÇAMENTO!$AF$7)/$H25*OFFSET(ORÇAMENTO!$X$15,ROW(AG25)-ROW(AG$15),0),0)</f>
        <v>0</v>
      </c>
      <c r="AH25" s="545">
        <f ca="1">IF(AND($D25="Serviço",AH$12&lt;&gt;0,$H25&gt;0,OR(AUTOEVENTO&lt;&gt;"manual",$M25&lt;&gt;1)),ROUND(OFFSET($P25,0,AH$13),15-13*ORÇAMENTO!$AF$7)/$H25*OFFSET(ORÇAMENTO!$X$15,ROW(AH25)-ROW(AH$15),0),0)</f>
        <v>0</v>
      </c>
      <c r="AI25" s="545">
        <f ca="1">IF(AND($D25="Serviço",AI$12&lt;&gt;0,$H25&gt;0,OR(AUTOEVENTO&lt;&gt;"manual",$M25&lt;&gt;1)),ROUND(OFFSET($P25,0,AI$13),15-13*ORÇAMENTO!$AF$7)/$H25*OFFSET(ORÇAMENTO!$X$15,ROW(AI25)-ROW(AI$15),0),0)</f>
        <v>0</v>
      </c>
      <c r="AJ25" s="545">
        <f ca="1">IF(AND($D25="Serviço",AJ$12&lt;&gt;0,$H25&gt;0,OR(AUTOEVENTO&lt;&gt;"manual",$M25&lt;&gt;1)),ROUND(OFFSET($P25,0,AJ$13),15-13*ORÇAMENTO!$AF$7)/$H25*OFFSET(ORÇAMENTO!$X$15,ROW(AJ25)-ROW(AJ$15),0),0)</f>
        <v>0</v>
      </c>
      <c r="AK25" s="546">
        <f ca="1">IF(AND($D25="Serviço",AK$12&lt;&gt;0,$H25&gt;0,OR(AUTOEVENTO&lt;&gt;"manual",$M25&lt;&gt;1)),ROUND(OFFSET($P25,0,AK$13),15-13*ORÇAMENTO!$AF$7)/$H25*OFFSET(ORÇAMENTO!$X$15,ROW(AK25)-ROW(AK$15),0),0)</f>
        <v>0</v>
      </c>
      <c r="AM25" s="180">
        <f ca="1">IF($D25&lt;&gt;"Serviço",0,IF(AND(AUTOEVENTO="Manual",$M25=1),0,IF(OFFSET(CRONOPLE!$F$14,$M25,AM$13)="",10^12,OFFSET(CRONOPLE!$F$14,$M25,AM$13))))</f>
        <v>1000000000000</v>
      </c>
      <c r="AN25" s="180">
        <f ca="1">IF($D25&lt;&gt;"Serviço",0,IF(AND(AUTOEVENTO="Manual",$M25=1),0,IF(OFFSET(CRONOPLE!$F$14,$M25,AN$13)="",10^12,OFFSET(CRONOPLE!$F$14,$M25,AN$13))))</f>
        <v>1</v>
      </c>
      <c r="AO25" s="180">
        <f ca="1">IF($D25&lt;&gt;"Serviço",0,IF(AND(AUTOEVENTO="Manual",$M25=1),0,IF(OFFSET(CRONOPLE!$F$14,$M25,AO$13)="",10^12,OFFSET(CRONOPLE!$F$14,$M25,AO$13))))</f>
        <v>4</v>
      </c>
      <c r="AP25" s="180">
        <f ca="1">IF($D25&lt;&gt;"Serviço",0,IF(AND(AUTOEVENTO="Manual",$M25=1),0,IF(OFFSET(CRONOPLE!$F$14,$M25,AP$13)="",10^12,OFFSET(CRONOPLE!$F$14,$M25,AP$13))))</f>
        <v>1000000000000</v>
      </c>
      <c r="AQ25" s="180">
        <f ca="1">IF($D25&lt;&gt;"Serviço",0,IF(AND(AUTOEVENTO="Manual",$M25=1),0,IF(OFFSET(CRONOPLE!$F$14,$M25,AQ$13)="",10^12,OFFSET(CRONOPLE!$F$14,$M25,AQ$13))))</f>
        <v>4</v>
      </c>
      <c r="AR25" s="180">
        <f ca="1">IF($D25&lt;&gt;"Serviço",0,IF(AND(AUTOEVENTO="Manual",$M25=1),0,IF(OFFSET(CRONOPLE!$F$14,$M25,AR$13)="",10^12,OFFSET(CRONOPLE!$F$14,$M25,AR$13))))</f>
        <v>1000000000000</v>
      </c>
      <c r="AS25" s="180">
        <f ca="1">IF($D25&lt;&gt;"Serviço",0,IF(AND(AUTOEVENTO="Manual",$M25=1),0,IF(OFFSET(CRONOPLE!$F$14,$M25,AS$13)="",10^12,OFFSET(CRONOPLE!$F$14,$M25,AS$13))))</f>
        <v>1000000000000</v>
      </c>
      <c r="AT25" s="180">
        <f ca="1">IF($D25&lt;&gt;"Serviço",0,IF(AND(AUTOEVENTO="Manual",$M25=1),0,IF(OFFSET(CRONOPLE!$F$14,$M25,AT$13)="",10^12,OFFSET(CRONOPLE!$F$14,$M25,AT$13))))</f>
        <v>1000000000000</v>
      </c>
      <c r="AU25" s="180">
        <f ca="1">IF($D25&lt;&gt;"Serviço",0,IF(AND(AUTOEVENTO="Manual",$M25=1),0,IF(OFFSET(CRONOPLE!$F$14,$M25,AU$13)="",10^12,OFFSET(CRONOPLE!$F$14,$M25,AU$13))))</f>
        <v>1000000000000</v>
      </c>
      <c r="AV25" s="180">
        <f ca="1">IF($D25&lt;&gt;"Serviço",0,IF(AND(AUTOEVENTO="Manual",$M25=1),0,IF(OFFSET(CRONOPLE!$F$14,$M25,AV$13)="",10^12,OFFSET(CRONOPLE!$F$14,$M25,AV$13))))</f>
        <v>1000000000000</v>
      </c>
      <c r="AX25" s="181">
        <f ca="1">IF($D25&lt;&gt;"Serviço",0,IF(OR(AND(AUTOEVENTO="Manual",$M25=1),$M25&gt;(ROW(PLE.lastrow)-ROW(PLE.firstrow))),0,IF(OFFSET(PLE!$G$14,$M25,AX$13)="",10^12,OFFSET(PLE!$G$14,$M25,AX$13))))</f>
        <v>1000000000000</v>
      </c>
      <c r="AY25" s="181">
        <f ca="1">IF($D25&lt;&gt;"Serviço",0,IF(OR(AND(AUTOEVENTO="Manual",$M25=1),$M25&gt;(ROW(PLE.lastrow)-ROW(PLE.firstrow))),0,IF(OFFSET(PLE!$G$14,$M25,AY$13)="",10^12,OFFSET(PLE!$G$14,$M25,AY$13))))</f>
        <v>1000000000000</v>
      </c>
      <c r="AZ25" s="181">
        <f ca="1">IF($D25&lt;&gt;"Serviço",0,IF(OR(AND(AUTOEVENTO="Manual",$M25=1),$M25&gt;(ROW(PLE.lastrow)-ROW(PLE.firstrow))),0,IF(OFFSET(PLE!$G$14,$M25,AZ$13)="",10^12,OFFSET(PLE!$G$14,$M25,AZ$13))))</f>
        <v>1000000000000</v>
      </c>
      <c r="BA25" s="181">
        <f ca="1">IF($D25&lt;&gt;"Serviço",0,IF(OR(AND(AUTOEVENTO="Manual",$M25=1),$M25&gt;(ROW(PLE.lastrow)-ROW(PLE.firstrow))),0,IF(OFFSET(PLE!$G$14,$M25,BA$13)="",10^12,OFFSET(PLE!$G$14,$M25,BA$13))))</f>
        <v>1000000000000</v>
      </c>
      <c r="BB25" s="181">
        <f ca="1">IF($D25&lt;&gt;"Serviço",0,IF(OR(AND(AUTOEVENTO="Manual",$M25=1),$M25&gt;(ROW(PLE.lastrow)-ROW(PLE.firstrow))),0,IF(OFFSET(PLE!$G$14,$M25,BB$13)="",10^12,OFFSET(PLE!$G$14,$M25,BB$13))))</f>
        <v>1000000000000</v>
      </c>
      <c r="BC25" s="181">
        <f ca="1">IF($D25&lt;&gt;"Serviço",0,IF(OR(AND(AUTOEVENTO="Manual",$M25=1),$M25&gt;(ROW(PLE.lastrow)-ROW(PLE.firstrow))),0,IF(OFFSET(PLE!$G$14,$M25,BC$13)="",10^12,OFFSET(PLE!$G$14,$M25,BC$13))))</f>
        <v>1000000000000</v>
      </c>
      <c r="BD25" s="181">
        <f ca="1">IF($D25&lt;&gt;"Serviço",0,IF(OR(AND(AUTOEVENTO="Manual",$M25=1),$M25&gt;(ROW(PLE.lastrow)-ROW(PLE.firstrow))),0,IF(OFFSET(PLE!$G$14,$M25,BD$13)="",10^12,OFFSET(PLE!$G$14,$M25,BD$13))))</f>
        <v>1000000000000</v>
      </c>
      <c r="BE25" s="181">
        <f ca="1">IF($D25&lt;&gt;"Serviço",0,IF(OR(AND(AUTOEVENTO="Manual",$M25=1),$M25&gt;(ROW(PLE.lastrow)-ROW(PLE.firstrow))),0,IF(OFFSET(PLE!$G$14,$M25,BE$13)="",10^12,OFFSET(PLE!$G$14,$M25,BE$13))))</f>
        <v>1000000000000</v>
      </c>
      <c r="BF25" s="181">
        <f ca="1">IF($D25&lt;&gt;"Serviço",0,IF(OR(AND(AUTOEVENTO="Manual",$M25=1),$M25&gt;(ROW(PLE.lastrow)-ROW(PLE.firstrow))),0,IF(OFFSET(PLE!$G$14,$M25,BF$13)="",10^12,OFFSET(PLE!$G$14,$M25,BF$13))))</f>
        <v>1000000000000</v>
      </c>
      <c r="BG25" s="181">
        <f ca="1">IF($D25&lt;&gt;"Serviço",0,IF(OR(AND(AUTOEVENTO="Manual",$M25=1),$M25&gt;(ROW(PLE.lastrow)-ROW(PLE.firstrow))),0,IF(OFFSET(PLE!$G$14,$M25,BG$13)="",10^12,OFFSET(PLE!$G$14,$M25,BG$13))))</f>
        <v>1000000000000</v>
      </c>
    </row>
    <row r="26" spans="1:59" ht="38.25" x14ac:dyDescent="0.2">
      <c r="A26" s="7">
        <f t="shared" ca="1" si="8"/>
        <v>4</v>
      </c>
      <c r="B26" s="7" t="str">
        <f ca="1">OFFSET(ORÇAMENTO!C$15,ROW(B26)-ROW(B$15),0)</f>
        <v>S</v>
      </c>
      <c r="C26" s="7" t="str">
        <f ca="1">OFFSET(ORÇAMENTO!L$15,ROW(C26)-ROW(C$15),0)</f>
        <v/>
      </c>
      <c r="D26" s="118" t="str">
        <f ca="1">OFFSET(ORÇAMENTO!N$15,ROW(D26)-ROW(D$15),0)</f>
        <v>Serviço</v>
      </c>
      <c r="E26" s="119" t="str">
        <f ca="1">OFFSET(ORÇAMENTO!O$15,ROW(E26)-ROW(E$15),0)</f>
        <v>-</v>
      </c>
      <c r="F26" s="171" t="str">
        <f ca="1">OFFSET(ORÇAMENTO!R$15,ROW(F26)-ROW(F$15),0)</f>
        <v>(abra o arquivo 'Referência 04-2024.xls)</v>
      </c>
      <c r="G26" s="172" t="str">
        <f ca="1">IF($D26&lt;&gt;"Serviço","",OFFSET(ORÇAMENTO!S$15,ROW(G26)-ROW(G$15),0))</f>
        <v>-</v>
      </c>
      <c r="H26" s="124">
        <f ca="1">IF($D26&lt;&gt;"Serviço",0,IF(ACOMPANHAMENTO="BM",ROUND(OFFSET(ORÇAMENTO!AJ$15,ROW(H26)-ROW(H$15),0),15-13*ORÇAMENTO!$AF$7),SUMPRODUCT(($Q$12:$AA$12&lt;&gt;"")*ROUND($Q26:$AA26,15-13*ORÇAMENTO!$AF$7))))</f>
        <v>407.03</v>
      </c>
      <c r="I26" s="561" t="s">
        <v>483</v>
      </c>
      <c r="K26" s="173" t="s">
        <v>475</v>
      </c>
      <c r="L26" s="174" t="s">
        <v>257</v>
      </c>
      <c r="M26" s="175">
        <f ca="1">IF($D26&lt;&gt;"Serviço","",IF(AUTOEVENTO="manual",$A26,IF(ISERROR(MATCH($A26,$A$15:OFFSET($A26,-1,0),0)),MAX($M$15:OFFSET(M26,-1,0))+1,INDEX($M$15:OFFSET(M26,-1,0),MATCH($A26,$A$15:OFFSET($A26,-1,0),0)))))</f>
        <v>4</v>
      </c>
      <c r="N26" s="176" t="str">
        <f ca="1">IF($D26&lt;&gt;"Serviço","",IF(AUTOEVENTO="Manual",IF($A26=0,"&lt;-- defina o número do agrupador",OFFSET(EVENTOS!$D$14,$A26,0)),OFFSET($F$15,$A26,0)))</f>
        <v>Pavimantação - Pista</v>
      </c>
      <c r="O26" s="177"/>
      <c r="Q26" s="177"/>
      <c r="R26" s="178">
        <f>((R25*0.1313)*10)</f>
        <v>407.03000000000003</v>
      </c>
      <c r="S26" s="178">
        <f>((S25*(0.22*0.11*0.1))*30)</f>
        <v>0</v>
      </c>
      <c r="T26" s="178"/>
      <c r="U26" s="178"/>
      <c r="V26" s="178"/>
      <c r="W26" s="178"/>
      <c r="X26" s="178"/>
      <c r="Y26" s="178"/>
      <c r="Z26" s="179"/>
      <c r="AB26" s="544">
        <f ca="1">IF(AND($D26="Serviço",AB$12&lt;&gt;0,$H26&gt;0,OR(AUTOEVENTO&lt;&gt;"manual",$M26&lt;&gt;1)),ROUND(OFFSET($P26,0,AB$13),15-13*ORÇAMENTO!$AF$7)/$H26*OFFSET(ORÇAMENTO!$X$15,ROW(AB26)-ROW(AB$15),0),0)</f>
        <v>0</v>
      </c>
      <c r="AC26" s="545">
        <f ca="1">IF(AND($D26="Serviço",AC$12&lt;&gt;0,$H26&gt;0,OR(AUTOEVENTO&lt;&gt;"manual",$M26&lt;&gt;1)),ROUND(OFFSET($P26,0,AC$13),15-13*ORÇAMENTO!$AF$7)/$H26*OFFSET(ORÇAMENTO!$X$15,ROW(AC26)-ROW(AC$15),0),0)</f>
        <v>0</v>
      </c>
      <c r="AD26" s="545">
        <f ca="1">IF(AND($D26="Serviço",AD$12&lt;&gt;0,$H26&gt;0,OR(AUTOEVENTO&lt;&gt;"manual",$M26&lt;&gt;1)),ROUND(OFFSET($P26,0,AD$13),15-13*ORÇAMENTO!$AF$7)/$H26*OFFSET(ORÇAMENTO!$X$15,ROW(AD26)-ROW(AD$15),0),0)</f>
        <v>0</v>
      </c>
      <c r="AE26" s="545">
        <f ca="1">IF(AND($D26="Serviço",AE$12&lt;&gt;0,$H26&gt;0,OR(AUTOEVENTO&lt;&gt;"manual",$M26&lt;&gt;1)),ROUND(OFFSET($P26,0,AE$13),15-13*ORÇAMENTO!$AF$7)/$H26*OFFSET(ORÇAMENTO!$X$15,ROW(AE26)-ROW(AE$15),0),0)</f>
        <v>0</v>
      </c>
      <c r="AF26" s="545">
        <f ca="1">IF(AND($D26="Serviço",AF$12&lt;&gt;0,$H26&gt;0,OR(AUTOEVENTO&lt;&gt;"manual",$M26&lt;&gt;1)),ROUND(OFFSET($P26,0,AF$13),15-13*ORÇAMENTO!$AF$7)/$H26*OFFSET(ORÇAMENTO!$X$15,ROW(AF26)-ROW(AF$15),0),0)</f>
        <v>0</v>
      </c>
      <c r="AG26" s="545">
        <f ca="1">IF(AND($D26="Serviço",AG$12&lt;&gt;0,$H26&gt;0,OR(AUTOEVENTO&lt;&gt;"manual",$M26&lt;&gt;1)),ROUND(OFFSET($P26,0,AG$13),15-13*ORÇAMENTO!$AF$7)/$H26*OFFSET(ORÇAMENTO!$X$15,ROW(AG26)-ROW(AG$15),0),0)</f>
        <v>0</v>
      </c>
      <c r="AH26" s="545">
        <f ca="1">IF(AND($D26="Serviço",AH$12&lt;&gt;0,$H26&gt;0,OR(AUTOEVENTO&lt;&gt;"manual",$M26&lt;&gt;1)),ROUND(OFFSET($P26,0,AH$13),15-13*ORÇAMENTO!$AF$7)/$H26*OFFSET(ORÇAMENTO!$X$15,ROW(AH26)-ROW(AH$15),0),0)</f>
        <v>0</v>
      </c>
      <c r="AI26" s="545">
        <f ca="1">IF(AND($D26="Serviço",AI$12&lt;&gt;0,$H26&gt;0,OR(AUTOEVENTO&lt;&gt;"manual",$M26&lt;&gt;1)),ROUND(OFFSET($P26,0,AI$13),15-13*ORÇAMENTO!$AF$7)/$H26*OFFSET(ORÇAMENTO!$X$15,ROW(AI26)-ROW(AI$15),0),0)</f>
        <v>0</v>
      </c>
      <c r="AJ26" s="545">
        <f ca="1">IF(AND($D26="Serviço",AJ$12&lt;&gt;0,$H26&gt;0,OR(AUTOEVENTO&lt;&gt;"manual",$M26&lt;&gt;1)),ROUND(OFFSET($P26,0,AJ$13),15-13*ORÇAMENTO!$AF$7)/$H26*OFFSET(ORÇAMENTO!$X$15,ROW(AJ26)-ROW(AJ$15),0),0)</f>
        <v>0</v>
      </c>
      <c r="AK26" s="546">
        <f ca="1">IF(AND($D26="Serviço",AK$12&lt;&gt;0,$H26&gt;0,OR(AUTOEVENTO&lt;&gt;"manual",$M26&lt;&gt;1)),ROUND(OFFSET($P26,0,AK$13),15-13*ORÇAMENTO!$AF$7)/$H26*OFFSET(ORÇAMENTO!$X$15,ROW(AK26)-ROW(AK$15),0),0)</f>
        <v>0</v>
      </c>
      <c r="AM26" s="180">
        <f ca="1">IF($D26&lt;&gt;"Serviço",0,IF(AND(AUTOEVENTO="Manual",$M26=1),0,IF(OFFSET(CRONOPLE!$F$14,$M26,AM$13)="",10^12,OFFSET(CRONOPLE!$F$14,$M26,AM$13))))</f>
        <v>1000000000000</v>
      </c>
      <c r="AN26" s="180">
        <f ca="1">IF($D26&lt;&gt;"Serviço",0,IF(AND(AUTOEVENTO="Manual",$M26=1),0,IF(OFFSET(CRONOPLE!$F$14,$M26,AN$13)="",10^12,OFFSET(CRONOPLE!$F$14,$M26,AN$13))))</f>
        <v>1</v>
      </c>
      <c r="AO26" s="180">
        <f ca="1">IF($D26&lt;&gt;"Serviço",0,IF(AND(AUTOEVENTO="Manual",$M26=1),0,IF(OFFSET(CRONOPLE!$F$14,$M26,AO$13)="",10^12,OFFSET(CRONOPLE!$F$14,$M26,AO$13))))</f>
        <v>4</v>
      </c>
      <c r="AP26" s="180">
        <f ca="1">IF($D26&lt;&gt;"Serviço",0,IF(AND(AUTOEVENTO="Manual",$M26=1),0,IF(OFFSET(CRONOPLE!$F$14,$M26,AP$13)="",10^12,OFFSET(CRONOPLE!$F$14,$M26,AP$13))))</f>
        <v>1000000000000</v>
      </c>
      <c r="AQ26" s="180">
        <f ca="1">IF($D26&lt;&gt;"Serviço",0,IF(AND(AUTOEVENTO="Manual",$M26=1),0,IF(OFFSET(CRONOPLE!$F$14,$M26,AQ$13)="",10^12,OFFSET(CRONOPLE!$F$14,$M26,AQ$13))))</f>
        <v>4</v>
      </c>
      <c r="AR26" s="180">
        <f ca="1">IF($D26&lt;&gt;"Serviço",0,IF(AND(AUTOEVENTO="Manual",$M26=1),0,IF(OFFSET(CRONOPLE!$F$14,$M26,AR$13)="",10^12,OFFSET(CRONOPLE!$F$14,$M26,AR$13))))</f>
        <v>1000000000000</v>
      </c>
      <c r="AS26" s="180">
        <f ca="1">IF($D26&lt;&gt;"Serviço",0,IF(AND(AUTOEVENTO="Manual",$M26=1),0,IF(OFFSET(CRONOPLE!$F$14,$M26,AS$13)="",10^12,OFFSET(CRONOPLE!$F$14,$M26,AS$13))))</f>
        <v>1000000000000</v>
      </c>
      <c r="AT26" s="180">
        <f ca="1">IF($D26&lt;&gt;"Serviço",0,IF(AND(AUTOEVENTO="Manual",$M26=1),0,IF(OFFSET(CRONOPLE!$F$14,$M26,AT$13)="",10^12,OFFSET(CRONOPLE!$F$14,$M26,AT$13))))</f>
        <v>1000000000000</v>
      </c>
      <c r="AU26" s="180">
        <f ca="1">IF($D26&lt;&gt;"Serviço",0,IF(AND(AUTOEVENTO="Manual",$M26=1),0,IF(OFFSET(CRONOPLE!$F$14,$M26,AU$13)="",10^12,OFFSET(CRONOPLE!$F$14,$M26,AU$13))))</f>
        <v>1000000000000</v>
      </c>
      <c r="AV26" s="180">
        <f ca="1">IF($D26&lt;&gt;"Serviço",0,IF(AND(AUTOEVENTO="Manual",$M26=1),0,IF(OFFSET(CRONOPLE!$F$14,$M26,AV$13)="",10^12,OFFSET(CRONOPLE!$F$14,$M26,AV$13))))</f>
        <v>1000000000000</v>
      </c>
      <c r="AX26" s="181">
        <f ca="1">IF($D26&lt;&gt;"Serviço",0,IF(OR(AND(AUTOEVENTO="Manual",$M26=1),$M26&gt;(ROW(PLE.lastrow)-ROW(PLE.firstrow))),0,IF(OFFSET(PLE!$G$14,$M26,AX$13)="",10^12,OFFSET(PLE!$G$14,$M26,AX$13))))</f>
        <v>1000000000000</v>
      </c>
      <c r="AY26" s="181">
        <f ca="1">IF($D26&lt;&gt;"Serviço",0,IF(OR(AND(AUTOEVENTO="Manual",$M26=1),$M26&gt;(ROW(PLE.lastrow)-ROW(PLE.firstrow))),0,IF(OFFSET(PLE!$G$14,$M26,AY$13)="",10^12,OFFSET(PLE!$G$14,$M26,AY$13))))</f>
        <v>1000000000000</v>
      </c>
      <c r="AZ26" s="181">
        <f ca="1">IF($D26&lt;&gt;"Serviço",0,IF(OR(AND(AUTOEVENTO="Manual",$M26=1),$M26&gt;(ROW(PLE.lastrow)-ROW(PLE.firstrow))),0,IF(OFFSET(PLE!$G$14,$M26,AZ$13)="",10^12,OFFSET(PLE!$G$14,$M26,AZ$13))))</f>
        <v>1000000000000</v>
      </c>
      <c r="BA26" s="181">
        <f ca="1">IF($D26&lt;&gt;"Serviço",0,IF(OR(AND(AUTOEVENTO="Manual",$M26=1),$M26&gt;(ROW(PLE.lastrow)-ROW(PLE.firstrow))),0,IF(OFFSET(PLE!$G$14,$M26,BA$13)="",10^12,OFFSET(PLE!$G$14,$M26,BA$13))))</f>
        <v>1000000000000</v>
      </c>
      <c r="BB26" s="181">
        <f ca="1">IF($D26&lt;&gt;"Serviço",0,IF(OR(AND(AUTOEVENTO="Manual",$M26=1),$M26&gt;(ROW(PLE.lastrow)-ROW(PLE.firstrow))),0,IF(OFFSET(PLE!$G$14,$M26,BB$13)="",10^12,OFFSET(PLE!$G$14,$M26,BB$13))))</f>
        <v>1000000000000</v>
      </c>
      <c r="BC26" s="181">
        <f ca="1">IF($D26&lt;&gt;"Serviço",0,IF(OR(AND(AUTOEVENTO="Manual",$M26=1),$M26&gt;(ROW(PLE.lastrow)-ROW(PLE.firstrow))),0,IF(OFFSET(PLE!$G$14,$M26,BC$13)="",10^12,OFFSET(PLE!$G$14,$M26,BC$13))))</f>
        <v>1000000000000</v>
      </c>
      <c r="BD26" s="181">
        <f ca="1">IF($D26&lt;&gt;"Serviço",0,IF(OR(AND(AUTOEVENTO="Manual",$M26=1),$M26&gt;(ROW(PLE.lastrow)-ROW(PLE.firstrow))),0,IF(OFFSET(PLE!$G$14,$M26,BD$13)="",10^12,OFFSET(PLE!$G$14,$M26,BD$13))))</f>
        <v>1000000000000</v>
      </c>
      <c r="BE26" s="181">
        <f ca="1">IF($D26&lt;&gt;"Serviço",0,IF(OR(AND(AUTOEVENTO="Manual",$M26=1),$M26&gt;(ROW(PLE.lastrow)-ROW(PLE.firstrow))),0,IF(OFFSET(PLE!$G$14,$M26,BE$13)="",10^12,OFFSET(PLE!$G$14,$M26,BE$13))))</f>
        <v>1000000000000</v>
      </c>
      <c r="BF26" s="181">
        <f ca="1">IF($D26&lt;&gt;"Serviço",0,IF(OR(AND(AUTOEVENTO="Manual",$M26=1),$M26&gt;(ROW(PLE.lastrow)-ROW(PLE.firstrow))),0,IF(OFFSET(PLE!$G$14,$M26,BF$13)="",10^12,OFFSET(PLE!$G$14,$M26,BF$13))))</f>
        <v>1000000000000</v>
      </c>
      <c r="BG26" s="181">
        <f ca="1">IF($D26&lt;&gt;"Serviço",0,IF(OR(AND(AUTOEVENTO="Manual",$M26=1),$M26&gt;(ROW(PLE.lastrow)-ROW(PLE.firstrow))),0,IF(OFFSET(PLE!$G$14,$M26,BG$13)="",10^12,OFFSET(PLE!$G$14,$M26,BG$13))))</f>
        <v>1000000000000</v>
      </c>
    </row>
    <row r="27" spans="1:59" ht="76.5" x14ac:dyDescent="0.2">
      <c r="A27" s="7">
        <f t="shared" ca="1" si="8"/>
        <v>4</v>
      </c>
      <c r="B27" s="7" t="str">
        <f ca="1">OFFSET(ORÇAMENTO!C$15,ROW(B27)-ROW(B$15),0)</f>
        <v>S</v>
      </c>
      <c r="C27" s="7" t="str">
        <f ca="1">OFFSET(ORÇAMENTO!L$15,ROW(C27)-ROW(C$15),0)</f>
        <v/>
      </c>
      <c r="D27" s="118" t="str">
        <f ca="1">OFFSET(ORÇAMENTO!N$15,ROW(D27)-ROW(D$15),0)</f>
        <v>Serviço</v>
      </c>
      <c r="E27" s="119" t="str">
        <f ca="1">OFFSET(ORÇAMENTO!O$15,ROW(E27)-ROW(E$15),0)</f>
        <v>-</v>
      </c>
      <c r="F27" s="171" t="str">
        <f ca="1">OFFSET(ORÇAMENTO!R$15,ROW(F27)-ROW(F$15),0)</f>
        <v>(abra o arquivo 'Referência 04-2024.xls)</v>
      </c>
      <c r="G27" s="172" t="str">
        <f ca="1">IF($D27&lt;&gt;"Serviço","",OFFSET(ORÇAMENTO!S$15,ROW(G27)-ROW(G$15),0))</f>
        <v>-</v>
      </c>
      <c r="H27" s="124">
        <f ca="1">IF($D27&lt;&gt;"Serviço",0,IF(ACOMPANHAMENTO="BM",ROUND(OFFSET(ORÇAMENTO!AJ$15,ROW(H27)-ROW(H$15),0),15-13*ORÇAMENTO!$AF$7),SUMPRODUCT(($Q$12:$AA$12&lt;&gt;"")*ROUND($Q27:$AA27,15-13*ORÇAMENTO!$AF$7))))</f>
        <v>18</v>
      </c>
      <c r="I27" s="561" t="s">
        <v>484</v>
      </c>
      <c r="K27" s="173" t="s">
        <v>475</v>
      </c>
      <c r="L27" s="174" t="s">
        <v>257</v>
      </c>
      <c r="M27" s="175">
        <f ca="1">IF($D27&lt;&gt;"Serviço","",IF(AUTOEVENTO="manual",$A27,IF(ISERROR(MATCH($A27,$A$15:OFFSET($A27,-1,0),0)),MAX($M$15:OFFSET(M27,-1,0))+1,INDEX($M$15:OFFSET(M27,-1,0),MATCH($A27,$A$15:OFFSET($A27,-1,0),0)))))</f>
        <v>4</v>
      </c>
      <c r="N27" s="176" t="str">
        <f ca="1">IF($D27&lt;&gt;"Serviço","",IF(AUTOEVENTO="Manual",IF($A27=0,"&lt;-- defina o número do agrupador",OFFSET(EVENTOS!$D$14,$A27,0)),OFFSET($F$15,$A27,0)))</f>
        <v>Pavimantação - Pista</v>
      </c>
      <c r="O27" s="177"/>
      <c r="Q27" s="177"/>
      <c r="R27" s="178">
        <f>((R25*(0.16*0.11*0.11))*30)</f>
        <v>18.004799999999999</v>
      </c>
      <c r="S27" s="178">
        <f>((S25*(0.22*0.11*0.1))*15)</f>
        <v>0</v>
      </c>
      <c r="T27" s="178"/>
      <c r="U27" s="178"/>
      <c r="V27" s="178"/>
      <c r="W27" s="178"/>
      <c r="X27" s="178"/>
      <c r="Y27" s="178"/>
      <c r="Z27" s="179"/>
      <c r="AB27" s="544">
        <f ca="1">IF(AND($D27="Serviço",AB$12&lt;&gt;0,$H27&gt;0,OR(AUTOEVENTO&lt;&gt;"manual",$M27&lt;&gt;1)),ROUND(OFFSET($P27,0,AB$13),15-13*ORÇAMENTO!$AF$7)/$H27*OFFSET(ORÇAMENTO!$X$15,ROW(AB27)-ROW(AB$15),0),0)</f>
        <v>0</v>
      </c>
      <c r="AC27" s="545">
        <f ca="1">IF(AND($D27="Serviço",AC$12&lt;&gt;0,$H27&gt;0,OR(AUTOEVENTO&lt;&gt;"manual",$M27&lt;&gt;1)),ROUND(OFFSET($P27,0,AC$13),15-13*ORÇAMENTO!$AF$7)/$H27*OFFSET(ORÇAMENTO!$X$15,ROW(AC27)-ROW(AC$15),0),0)</f>
        <v>0</v>
      </c>
      <c r="AD27" s="545">
        <f ca="1">IF(AND($D27="Serviço",AD$12&lt;&gt;0,$H27&gt;0,OR(AUTOEVENTO&lt;&gt;"manual",$M27&lt;&gt;1)),ROUND(OFFSET($P27,0,AD$13),15-13*ORÇAMENTO!$AF$7)/$H27*OFFSET(ORÇAMENTO!$X$15,ROW(AD27)-ROW(AD$15),0),0)</f>
        <v>0</v>
      </c>
      <c r="AE27" s="545">
        <f ca="1">IF(AND($D27="Serviço",AE$12&lt;&gt;0,$H27&gt;0,OR(AUTOEVENTO&lt;&gt;"manual",$M27&lt;&gt;1)),ROUND(OFFSET($P27,0,AE$13),15-13*ORÇAMENTO!$AF$7)/$H27*OFFSET(ORÇAMENTO!$X$15,ROW(AE27)-ROW(AE$15),0),0)</f>
        <v>0</v>
      </c>
      <c r="AF27" s="545">
        <f ca="1">IF(AND($D27="Serviço",AF$12&lt;&gt;0,$H27&gt;0,OR(AUTOEVENTO&lt;&gt;"manual",$M27&lt;&gt;1)),ROUND(OFFSET($P27,0,AF$13),15-13*ORÇAMENTO!$AF$7)/$H27*OFFSET(ORÇAMENTO!$X$15,ROW(AF27)-ROW(AF$15),0),0)</f>
        <v>0</v>
      </c>
      <c r="AG27" s="545">
        <f ca="1">IF(AND($D27="Serviço",AG$12&lt;&gt;0,$H27&gt;0,OR(AUTOEVENTO&lt;&gt;"manual",$M27&lt;&gt;1)),ROUND(OFFSET($P27,0,AG$13),15-13*ORÇAMENTO!$AF$7)/$H27*OFFSET(ORÇAMENTO!$X$15,ROW(AG27)-ROW(AG$15),0),0)</f>
        <v>0</v>
      </c>
      <c r="AH27" s="545">
        <f ca="1">IF(AND($D27="Serviço",AH$12&lt;&gt;0,$H27&gt;0,OR(AUTOEVENTO&lt;&gt;"manual",$M27&lt;&gt;1)),ROUND(OFFSET($P27,0,AH$13),15-13*ORÇAMENTO!$AF$7)/$H27*OFFSET(ORÇAMENTO!$X$15,ROW(AH27)-ROW(AH$15),0),0)</f>
        <v>0</v>
      </c>
      <c r="AI27" s="545">
        <f ca="1">IF(AND($D27="Serviço",AI$12&lt;&gt;0,$H27&gt;0,OR(AUTOEVENTO&lt;&gt;"manual",$M27&lt;&gt;1)),ROUND(OFFSET($P27,0,AI$13),15-13*ORÇAMENTO!$AF$7)/$H27*OFFSET(ORÇAMENTO!$X$15,ROW(AI27)-ROW(AI$15),0),0)</f>
        <v>0</v>
      </c>
      <c r="AJ27" s="545">
        <f ca="1">IF(AND($D27="Serviço",AJ$12&lt;&gt;0,$H27&gt;0,OR(AUTOEVENTO&lt;&gt;"manual",$M27&lt;&gt;1)),ROUND(OFFSET($P27,0,AJ$13),15-13*ORÇAMENTO!$AF$7)/$H27*OFFSET(ORÇAMENTO!$X$15,ROW(AJ27)-ROW(AJ$15),0),0)</f>
        <v>0</v>
      </c>
      <c r="AK27" s="546">
        <f ca="1">IF(AND($D27="Serviço",AK$12&lt;&gt;0,$H27&gt;0,OR(AUTOEVENTO&lt;&gt;"manual",$M27&lt;&gt;1)),ROUND(OFFSET($P27,0,AK$13),15-13*ORÇAMENTO!$AF$7)/$H27*OFFSET(ORÇAMENTO!$X$15,ROW(AK27)-ROW(AK$15),0),0)</f>
        <v>0</v>
      </c>
      <c r="AM27" s="180">
        <f ca="1">IF($D27&lt;&gt;"Serviço",0,IF(AND(AUTOEVENTO="Manual",$M27=1),0,IF(OFFSET(CRONOPLE!$F$14,$M27,AM$13)="",10^12,OFFSET(CRONOPLE!$F$14,$M27,AM$13))))</f>
        <v>1000000000000</v>
      </c>
      <c r="AN27" s="180">
        <f ca="1">IF($D27&lt;&gt;"Serviço",0,IF(AND(AUTOEVENTO="Manual",$M27=1),0,IF(OFFSET(CRONOPLE!$F$14,$M27,AN$13)="",10^12,OFFSET(CRONOPLE!$F$14,$M27,AN$13))))</f>
        <v>1</v>
      </c>
      <c r="AO27" s="180">
        <f ca="1">IF($D27&lt;&gt;"Serviço",0,IF(AND(AUTOEVENTO="Manual",$M27=1),0,IF(OFFSET(CRONOPLE!$F$14,$M27,AO$13)="",10^12,OFFSET(CRONOPLE!$F$14,$M27,AO$13))))</f>
        <v>4</v>
      </c>
      <c r="AP27" s="180">
        <f ca="1">IF($D27&lt;&gt;"Serviço",0,IF(AND(AUTOEVENTO="Manual",$M27=1),0,IF(OFFSET(CRONOPLE!$F$14,$M27,AP$13)="",10^12,OFFSET(CRONOPLE!$F$14,$M27,AP$13))))</f>
        <v>1000000000000</v>
      </c>
      <c r="AQ27" s="180">
        <f ca="1">IF($D27&lt;&gt;"Serviço",0,IF(AND(AUTOEVENTO="Manual",$M27=1),0,IF(OFFSET(CRONOPLE!$F$14,$M27,AQ$13)="",10^12,OFFSET(CRONOPLE!$F$14,$M27,AQ$13))))</f>
        <v>4</v>
      </c>
      <c r="AR27" s="180">
        <f ca="1">IF($D27&lt;&gt;"Serviço",0,IF(AND(AUTOEVENTO="Manual",$M27=1),0,IF(OFFSET(CRONOPLE!$F$14,$M27,AR$13)="",10^12,OFFSET(CRONOPLE!$F$14,$M27,AR$13))))</f>
        <v>1000000000000</v>
      </c>
      <c r="AS27" s="180">
        <f ca="1">IF($D27&lt;&gt;"Serviço",0,IF(AND(AUTOEVENTO="Manual",$M27=1),0,IF(OFFSET(CRONOPLE!$F$14,$M27,AS$13)="",10^12,OFFSET(CRONOPLE!$F$14,$M27,AS$13))))</f>
        <v>1000000000000</v>
      </c>
      <c r="AT27" s="180">
        <f ca="1">IF($D27&lt;&gt;"Serviço",0,IF(AND(AUTOEVENTO="Manual",$M27=1),0,IF(OFFSET(CRONOPLE!$F$14,$M27,AT$13)="",10^12,OFFSET(CRONOPLE!$F$14,$M27,AT$13))))</f>
        <v>1000000000000</v>
      </c>
      <c r="AU27" s="180">
        <f ca="1">IF($D27&lt;&gt;"Serviço",0,IF(AND(AUTOEVENTO="Manual",$M27=1),0,IF(OFFSET(CRONOPLE!$F$14,$M27,AU$13)="",10^12,OFFSET(CRONOPLE!$F$14,$M27,AU$13))))</f>
        <v>1000000000000</v>
      </c>
      <c r="AV27" s="180">
        <f ca="1">IF($D27&lt;&gt;"Serviço",0,IF(AND(AUTOEVENTO="Manual",$M27=1),0,IF(OFFSET(CRONOPLE!$F$14,$M27,AV$13)="",10^12,OFFSET(CRONOPLE!$F$14,$M27,AV$13))))</f>
        <v>1000000000000</v>
      </c>
      <c r="AX27" s="181">
        <f ca="1">IF($D27&lt;&gt;"Serviço",0,IF(OR(AND(AUTOEVENTO="Manual",$M27=1),$M27&gt;(ROW(PLE.lastrow)-ROW(PLE.firstrow))),0,IF(OFFSET(PLE!$G$14,$M27,AX$13)="",10^12,OFFSET(PLE!$G$14,$M27,AX$13))))</f>
        <v>1000000000000</v>
      </c>
      <c r="AY27" s="181">
        <f ca="1">IF($D27&lt;&gt;"Serviço",0,IF(OR(AND(AUTOEVENTO="Manual",$M27=1),$M27&gt;(ROW(PLE.lastrow)-ROW(PLE.firstrow))),0,IF(OFFSET(PLE!$G$14,$M27,AY$13)="",10^12,OFFSET(PLE!$G$14,$M27,AY$13))))</f>
        <v>1000000000000</v>
      </c>
      <c r="AZ27" s="181">
        <f ca="1">IF($D27&lt;&gt;"Serviço",0,IF(OR(AND(AUTOEVENTO="Manual",$M27=1),$M27&gt;(ROW(PLE.lastrow)-ROW(PLE.firstrow))),0,IF(OFFSET(PLE!$G$14,$M27,AZ$13)="",10^12,OFFSET(PLE!$G$14,$M27,AZ$13))))</f>
        <v>1000000000000</v>
      </c>
      <c r="BA27" s="181">
        <f ca="1">IF($D27&lt;&gt;"Serviço",0,IF(OR(AND(AUTOEVENTO="Manual",$M27=1),$M27&gt;(ROW(PLE.lastrow)-ROW(PLE.firstrow))),0,IF(OFFSET(PLE!$G$14,$M27,BA$13)="",10^12,OFFSET(PLE!$G$14,$M27,BA$13))))</f>
        <v>1000000000000</v>
      </c>
      <c r="BB27" s="181">
        <f ca="1">IF($D27&lt;&gt;"Serviço",0,IF(OR(AND(AUTOEVENTO="Manual",$M27=1),$M27&gt;(ROW(PLE.lastrow)-ROW(PLE.firstrow))),0,IF(OFFSET(PLE!$G$14,$M27,BB$13)="",10^12,OFFSET(PLE!$G$14,$M27,BB$13))))</f>
        <v>1000000000000</v>
      </c>
      <c r="BC27" s="181">
        <f ca="1">IF($D27&lt;&gt;"Serviço",0,IF(OR(AND(AUTOEVENTO="Manual",$M27=1),$M27&gt;(ROW(PLE.lastrow)-ROW(PLE.firstrow))),0,IF(OFFSET(PLE!$G$14,$M27,BC$13)="",10^12,OFFSET(PLE!$G$14,$M27,BC$13))))</f>
        <v>1000000000000</v>
      </c>
      <c r="BD27" s="181">
        <f ca="1">IF($D27&lt;&gt;"Serviço",0,IF(OR(AND(AUTOEVENTO="Manual",$M27=1),$M27&gt;(ROW(PLE.lastrow)-ROW(PLE.firstrow))),0,IF(OFFSET(PLE!$G$14,$M27,BD$13)="",10^12,OFFSET(PLE!$G$14,$M27,BD$13))))</f>
        <v>1000000000000</v>
      </c>
      <c r="BE27" s="181">
        <f ca="1">IF($D27&lt;&gt;"Serviço",0,IF(OR(AND(AUTOEVENTO="Manual",$M27=1),$M27&gt;(ROW(PLE.lastrow)-ROW(PLE.firstrow))),0,IF(OFFSET(PLE!$G$14,$M27,BE$13)="",10^12,OFFSET(PLE!$G$14,$M27,BE$13))))</f>
        <v>1000000000000</v>
      </c>
      <c r="BF27" s="181">
        <f ca="1">IF($D27&lt;&gt;"Serviço",0,IF(OR(AND(AUTOEVENTO="Manual",$M27=1),$M27&gt;(ROW(PLE.lastrow)-ROW(PLE.firstrow))),0,IF(OFFSET(PLE!$G$14,$M27,BF$13)="",10^12,OFFSET(PLE!$G$14,$M27,BF$13))))</f>
        <v>1000000000000</v>
      </c>
      <c r="BG27" s="181">
        <f ca="1">IF($D27&lt;&gt;"Serviço",0,IF(OR(AND(AUTOEVENTO="Manual",$M27=1),$M27&gt;(ROW(PLE.lastrow)-ROW(PLE.firstrow))),0,IF(OFFSET(PLE!$G$14,$M27,BG$13)="",10^12,OFFSET(PLE!$G$14,$M27,BG$13))))</f>
        <v>1000000000000</v>
      </c>
    </row>
    <row r="28" spans="1:59" s="577" customFormat="1" ht="76.5" x14ac:dyDescent="0.2">
      <c r="A28" s="7">
        <f ca="1">IF(AUTOEVENTO="Manual",IF(K28&lt;&gt;"",MIN(VALUE(LEFT(K28,FIND(".",K28)-1)),COUNTA(EVENTOS.Lista)),0),IF(OR($B28&gt;AUTOEVENTO,$B28="S",$B28=0),SUBSTITUTE(OFFSET($A28,-1,0),IF($D28="Serviço",".",""),""),ROW(A28)-ROW($A$15)&amp;"."))</f>
        <v>4</v>
      </c>
      <c r="B28" s="7" t="str">
        <f ca="1">OFFSET(ORÇAMENTO!C$15,ROW(B28)-ROW(B$15),0)</f>
        <v>S</v>
      </c>
      <c r="C28" s="7" t="str">
        <f ca="1">OFFSET(ORÇAMENTO!L$15,ROW(C28)-ROW(C$15),0)</f>
        <v/>
      </c>
      <c r="D28" s="118" t="str">
        <f ca="1">OFFSET(ORÇAMENTO!N$15,ROW(D28)-ROW(D$15),0)</f>
        <v>Serviço</v>
      </c>
      <c r="E28" s="119" t="str">
        <f ca="1">OFFSET(ORÇAMENTO!O$15,ROW(E28)-ROW(E$15),0)</f>
        <v>-</v>
      </c>
      <c r="F28" s="171" t="str">
        <f ca="1">OFFSET(ORÇAMENTO!R$15,ROW(F28)-ROW(F$15),0)</f>
        <v>(abra o arquivo 'Referência 04-2024.xls)</v>
      </c>
      <c r="G28" s="172" t="str">
        <f ca="1">IF($D28&lt;&gt;"Serviço","",OFFSET(ORÇAMENTO!S$15,ROW(G28)-ROW(G$15),0))</f>
        <v>-</v>
      </c>
      <c r="H28" s="124">
        <f ca="1">IF($D28&lt;&gt;"Serviço",0,IF(ACOMPANHAMENTO="BM",ROUND(OFFSET(ORÇAMENTO!AJ$15,ROW(H28)-ROW(H$15),0),15-13*ORÇAMENTO!$AF$7),SUMPRODUCT(($Q$12:$AA$12&lt;&gt;"")*ROUND($Q28:$AA28,15-13*ORÇAMENTO!$AF$7))))</f>
        <v>11.82</v>
      </c>
      <c r="I28" s="561" t="s">
        <v>485</v>
      </c>
      <c r="K28" s="173" t="s">
        <v>475</v>
      </c>
      <c r="L28" s="174" t="s">
        <v>257</v>
      </c>
      <c r="M28" s="175">
        <f ca="1">IF($D28&lt;&gt;"Serviço","",IF(AUTOEVENTO="manual",$A28,IF(ISERROR(MATCH($A28,$A$15:OFFSET($A28,-1,0),0)),MAX($M$15:OFFSET(M28,-1,0))+1,INDEX($M$15:OFFSET(M28,-1,0),MATCH($A28,$A$15:OFFSET($A28,-1,0),0)))))</f>
        <v>4</v>
      </c>
      <c r="N28" s="176" t="str">
        <f ca="1">IF($D28&lt;&gt;"Serviço","",IF(AUTOEVENTO="Manual",IF($A28=0,"&lt;-- defina o número do agrupador",OFFSET(EVENTOS!$D$14,$A28,0)),OFFSET($F$15,$A28,0)))</f>
        <v>Pavimantação - Pista</v>
      </c>
      <c r="O28" s="177"/>
      <c r="Q28" s="177"/>
      <c r="R28" s="178">
        <f>((R26*(0.16*0.11*0.11))*15)</f>
        <v>11.820151200000003</v>
      </c>
      <c r="S28" s="178"/>
      <c r="T28" s="178"/>
      <c r="U28" s="178"/>
      <c r="V28" s="178"/>
      <c r="W28" s="178"/>
      <c r="X28" s="178"/>
      <c r="Y28" s="178"/>
      <c r="Z28" s="179"/>
      <c r="AB28" s="544">
        <f ca="1">IF(AND($D28="Serviço",AB$12&lt;&gt;0,$H28&gt;0,OR(AUTOEVENTO&lt;&gt;"manual",$M28&lt;&gt;1)),ROUND(OFFSET($P28,0,AB$13),15-13*ORÇAMENTO!$AF$7)/$H28*OFFSET(ORÇAMENTO!$X$15,ROW(AB28)-ROW(AB$15),0),0)</f>
        <v>0</v>
      </c>
      <c r="AC28" s="545">
        <f ca="1">IF(AND($D28="Serviço",AC$12&lt;&gt;0,$H28&gt;0,OR(AUTOEVENTO&lt;&gt;"manual",$M28&lt;&gt;1)),ROUND(OFFSET($P28,0,AC$13),15-13*ORÇAMENTO!$AF$7)/$H28*OFFSET(ORÇAMENTO!$X$15,ROW(AC28)-ROW(AC$15),0),0)</f>
        <v>0</v>
      </c>
      <c r="AD28" s="545">
        <f ca="1">IF(AND($D28="Serviço",AD$12&lt;&gt;0,$H28&gt;0,OR(AUTOEVENTO&lt;&gt;"manual",$M28&lt;&gt;1)),ROUND(OFFSET($P28,0,AD$13),15-13*ORÇAMENTO!$AF$7)/$H28*OFFSET(ORÇAMENTO!$X$15,ROW(AD28)-ROW(AD$15),0),0)</f>
        <v>0</v>
      </c>
      <c r="AE28" s="545">
        <f ca="1">IF(AND($D28="Serviço",AE$12&lt;&gt;0,$H28&gt;0,OR(AUTOEVENTO&lt;&gt;"manual",$M28&lt;&gt;1)),ROUND(OFFSET($P28,0,AE$13),15-13*ORÇAMENTO!$AF$7)/$H28*OFFSET(ORÇAMENTO!$X$15,ROW(AE28)-ROW(AE$15),0),0)</f>
        <v>0</v>
      </c>
      <c r="AF28" s="545">
        <f ca="1">IF(AND($D28="Serviço",AF$12&lt;&gt;0,$H28&gt;0,OR(AUTOEVENTO&lt;&gt;"manual",$M28&lt;&gt;1)),ROUND(OFFSET($P28,0,AF$13),15-13*ORÇAMENTO!$AF$7)/$H28*OFFSET(ORÇAMENTO!$X$15,ROW(AF28)-ROW(AF$15),0),0)</f>
        <v>0</v>
      </c>
      <c r="AG28" s="545">
        <f ca="1">IF(AND($D28="Serviço",AG$12&lt;&gt;0,$H28&gt;0,OR(AUTOEVENTO&lt;&gt;"manual",$M28&lt;&gt;1)),ROUND(OFFSET($P28,0,AG$13),15-13*ORÇAMENTO!$AF$7)/$H28*OFFSET(ORÇAMENTO!$X$15,ROW(AG28)-ROW(AG$15),0),0)</f>
        <v>0</v>
      </c>
      <c r="AH28" s="545">
        <f ca="1">IF(AND($D28="Serviço",AH$12&lt;&gt;0,$H28&gt;0,OR(AUTOEVENTO&lt;&gt;"manual",$M28&lt;&gt;1)),ROUND(OFFSET($P28,0,AH$13),15-13*ORÇAMENTO!$AF$7)/$H28*OFFSET(ORÇAMENTO!$X$15,ROW(AH28)-ROW(AH$15),0),0)</f>
        <v>0</v>
      </c>
      <c r="AI28" s="545">
        <f ca="1">IF(AND($D28="Serviço",AI$12&lt;&gt;0,$H28&gt;0,OR(AUTOEVENTO&lt;&gt;"manual",$M28&lt;&gt;1)),ROUND(OFFSET($P28,0,AI$13),15-13*ORÇAMENTO!$AF$7)/$H28*OFFSET(ORÇAMENTO!$X$15,ROW(AI28)-ROW(AI$15),0),0)</f>
        <v>0</v>
      </c>
      <c r="AJ28" s="545">
        <f ca="1">IF(AND($D28="Serviço",AJ$12&lt;&gt;0,$H28&gt;0,OR(AUTOEVENTO&lt;&gt;"manual",$M28&lt;&gt;1)),ROUND(OFFSET($P28,0,AJ$13),15-13*ORÇAMENTO!$AF$7)/$H28*OFFSET(ORÇAMENTO!$X$15,ROW(AJ28)-ROW(AJ$15),0),0)</f>
        <v>0</v>
      </c>
      <c r="AK28" s="546">
        <f ca="1">IF(AND($D28="Serviço",AK$12&lt;&gt;0,$H28&gt;0,OR(AUTOEVENTO&lt;&gt;"manual",$M28&lt;&gt;1)),ROUND(OFFSET($P28,0,AK$13),15-13*ORÇAMENTO!$AF$7)/$H28*OFFSET(ORÇAMENTO!$X$15,ROW(AK28)-ROW(AK$15),0),0)</f>
        <v>0</v>
      </c>
      <c r="AM28" s="180">
        <f ca="1">IF($D28&lt;&gt;"Serviço",0,IF(AND(AUTOEVENTO="Manual",$M28=1),0,IF(OFFSET(CRONOPLE!$F$14,$M28,AM$13)="",10^12,OFFSET(CRONOPLE!$F$14,$M28,AM$13))))</f>
        <v>1000000000000</v>
      </c>
      <c r="AN28" s="180">
        <f ca="1">IF($D28&lt;&gt;"Serviço",0,IF(AND(AUTOEVENTO="Manual",$M28=1),0,IF(OFFSET(CRONOPLE!$F$14,$M28,AN$13)="",10^12,OFFSET(CRONOPLE!$F$14,$M28,AN$13))))</f>
        <v>1</v>
      </c>
      <c r="AO28" s="180">
        <f ca="1">IF($D28&lt;&gt;"Serviço",0,IF(AND(AUTOEVENTO="Manual",$M28=1),0,IF(OFFSET(CRONOPLE!$F$14,$M28,AO$13)="",10^12,OFFSET(CRONOPLE!$F$14,$M28,AO$13))))</f>
        <v>4</v>
      </c>
      <c r="AP28" s="180">
        <f ca="1">IF($D28&lt;&gt;"Serviço",0,IF(AND(AUTOEVENTO="Manual",$M28=1),0,IF(OFFSET(CRONOPLE!$F$14,$M28,AP$13)="",10^12,OFFSET(CRONOPLE!$F$14,$M28,AP$13))))</f>
        <v>1000000000000</v>
      </c>
      <c r="AQ28" s="180">
        <f ca="1">IF($D28&lt;&gt;"Serviço",0,IF(AND(AUTOEVENTO="Manual",$M28=1),0,IF(OFFSET(CRONOPLE!$F$14,$M28,AQ$13)="",10^12,OFFSET(CRONOPLE!$F$14,$M28,AQ$13))))</f>
        <v>4</v>
      </c>
      <c r="AR28" s="180">
        <f ca="1">IF($D28&lt;&gt;"Serviço",0,IF(AND(AUTOEVENTO="Manual",$M28=1),0,IF(OFFSET(CRONOPLE!$F$14,$M28,AR$13)="",10^12,OFFSET(CRONOPLE!$F$14,$M28,AR$13))))</f>
        <v>1000000000000</v>
      </c>
      <c r="AS28" s="180">
        <f ca="1">IF($D28&lt;&gt;"Serviço",0,IF(AND(AUTOEVENTO="Manual",$M28=1),0,IF(OFFSET(CRONOPLE!$F$14,$M28,AS$13)="",10^12,OFFSET(CRONOPLE!$F$14,$M28,AS$13))))</f>
        <v>1000000000000</v>
      </c>
      <c r="AT28" s="180">
        <f ca="1">IF($D28&lt;&gt;"Serviço",0,IF(AND(AUTOEVENTO="Manual",$M28=1),0,IF(OFFSET(CRONOPLE!$F$14,$M28,AT$13)="",10^12,OFFSET(CRONOPLE!$F$14,$M28,AT$13))))</f>
        <v>1000000000000</v>
      </c>
      <c r="AU28" s="180">
        <f ca="1">IF($D28&lt;&gt;"Serviço",0,IF(AND(AUTOEVENTO="Manual",$M28=1),0,IF(OFFSET(CRONOPLE!$F$14,$M28,AU$13)="",10^12,OFFSET(CRONOPLE!$F$14,$M28,AU$13))))</f>
        <v>1000000000000</v>
      </c>
      <c r="AV28" s="180">
        <f ca="1">IF($D28&lt;&gt;"Serviço",0,IF(AND(AUTOEVENTO="Manual",$M28=1),0,IF(OFFSET(CRONOPLE!$F$14,$M28,AV$13)="",10^12,OFFSET(CRONOPLE!$F$14,$M28,AV$13))))</f>
        <v>1000000000000</v>
      </c>
      <c r="AX28" s="181">
        <f ca="1">IF($D28&lt;&gt;"Serviço",0,IF(OR(AND(AUTOEVENTO="Manual",$M28=1),$M28&gt;(ROW(PLE.lastrow)-ROW(PLE.firstrow))),0,IF(OFFSET(PLE!$G$14,$M28,AX$13)="",10^12,OFFSET(PLE!$G$14,$M28,AX$13))))</f>
        <v>1000000000000</v>
      </c>
      <c r="AY28" s="181">
        <f ca="1">IF($D28&lt;&gt;"Serviço",0,IF(OR(AND(AUTOEVENTO="Manual",$M28=1),$M28&gt;(ROW(PLE.lastrow)-ROW(PLE.firstrow))),0,IF(OFFSET(PLE!$G$14,$M28,AY$13)="",10^12,OFFSET(PLE!$G$14,$M28,AY$13))))</f>
        <v>1000000000000</v>
      </c>
      <c r="AZ28" s="181">
        <f ca="1">IF($D28&lt;&gt;"Serviço",0,IF(OR(AND(AUTOEVENTO="Manual",$M28=1),$M28&gt;(ROW(PLE.lastrow)-ROW(PLE.firstrow))),0,IF(OFFSET(PLE!$G$14,$M28,AZ$13)="",10^12,OFFSET(PLE!$G$14,$M28,AZ$13))))</f>
        <v>1000000000000</v>
      </c>
      <c r="BA28" s="181">
        <f ca="1">IF($D28&lt;&gt;"Serviço",0,IF(OR(AND(AUTOEVENTO="Manual",$M28=1),$M28&gt;(ROW(PLE.lastrow)-ROW(PLE.firstrow))),0,IF(OFFSET(PLE!$G$14,$M28,BA$13)="",10^12,OFFSET(PLE!$G$14,$M28,BA$13))))</f>
        <v>1000000000000</v>
      </c>
      <c r="BB28" s="181">
        <f ca="1">IF($D28&lt;&gt;"Serviço",0,IF(OR(AND(AUTOEVENTO="Manual",$M28=1),$M28&gt;(ROW(PLE.lastrow)-ROW(PLE.firstrow))),0,IF(OFFSET(PLE!$G$14,$M28,BB$13)="",10^12,OFFSET(PLE!$G$14,$M28,BB$13))))</f>
        <v>1000000000000</v>
      </c>
      <c r="BC28" s="181">
        <f ca="1">IF($D28&lt;&gt;"Serviço",0,IF(OR(AND(AUTOEVENTO="Manual",$M28=1),$M28&gt;(ROW(PLE.lastrow)-ROW(PLE.firstrow))),0,IF(OFFSET(PLE!$G$14,$M28,BC$13)="",10^12,OFFSET(PLE!$G$14,$M28,BC$13))))</f>
        <v>1000000000000</v>
      </c>
      <c r="BD28" s="181">
        <f ca="1">IF($D28&lt;&gt;"Serviço",0,IF(OR(AND(AUTOEVENTO="Manual",$M28=1),$M28&gt;(ROW(PLE.lastrow)-ROW(PLE.firstrow))),0,IF(OFFSET(PLE!$G$14,$M28,BD$13)="",10^12,OFFSET(PLE!$G$14,$M28,BD$13))))</f>
        <v>1000000000000</v>
      </c>
      <c r="BE28" s="181">
        <f ca="1">IF($D28&lt;&gt;"Serviço",0,IF(OR(AND(AUTOEVENTO="Manual",$M28=1),$M28&gt;(ROW(PLE.lastrow)-ROW(PLE.firstrow))),0,IF(OFFSET(PLE!$G$14,$M28,BE$13)="",10^12,OFFSET(PLE!$G$14,$M28,BE$13))))</f>
        <v>1000000000000</v>
      </c>
      <c r="BF28" s="181">
        <f ca="1">IF($D28&lt;&gt;"Serviço",0,IF(OR(AND(AUTOEVENTO="Manual",$M28=1),$M28&gt;(ROW(PLE.lastrow)-ROW(PLE.firstrow))),0,IF(OFFSET(PLE!$G$14,$M28,BF$13)="",10^12,OFFSET(PLE!$G$14,$M28,BF$13))))</f>
        <v>1000000000000</v>
      </c>
      <c r="BG28" s="181">
        <f ca="1">IF($D28&lt;&gt;"Serviço",0,IF(OR(AND(AUTOEVENTO="Manual",$M28=1),$M28&gt;(ROW(PLE.lastrow)-ROW(PLE.firstrow))),0,IF(OFFSET(PLE!$G$14,$M28,BG$13)="",10^12,OFFSET(PLE!$G$14,$M28,BG$13))))</f>
        <v>1000000000000</v>
      </c>
    </row>
    <row r="29" spans="1:59" ht="12.75" x14ac:dyDescent="0.2">
      <c r="A29" s="7">
        <f t="shared" ref="A29:A30" ca="1" si="9">IF(AUTOEVENTO="Manual",IF(K29&lt;&gt;"",MIN(VALUE(LEFT(K29,FIND(".",K29)-1)),COUNTA(EVENTOS.Lista)),0),IF(OR($B29&gt;AUTOEVENTO,$B29="S",$B29=0),SUBSTITUTE(OFFSET($A29,-1,0),IF($D29="Serviço",".",""),""),ROW(A29)-ROW($A$15)&amp;"."))</f>
        <v>5</v>
      </c>
      <c r="B29" s="7">
        <f ca="1">OFFSET(ORÇAMENTO!C$15,ROW(B29)-ROW(B$15),0)</f>
        <v>2</v>
      </c>
      <c r="C29" s="7" t="str">
        <f ca="1">OFFSET(ORÇAMENTO!L$15,ROW(C29)-ROW(C$15),0)</f>
        <v>F</v>
      </c>
      <c r="D29" s="118" t="str">
        <f ca="1">OFFSET(ORÇAMENTO!N$15,ROW(D29)-ROW(D$15),0)</f>
        <v>Nível 2</v>
      </c>
      <c r="E29" s="119" t="str">
        <f ca="1">OFFSET(ORÇAMENTO!O$15,ROW(E29)-ROW(E$15),0)</f>
        <v>1.5.</v>
      </c>
      <c r="F29" s="171" t="str">
        <f ca="1">OFFSET(ORÇAMENTO!R$15,ROW(F29)-ROW(F$15),0)</f>
        <v>SINALIZAÇÃO VERTICAL</v>
      </c>
      <c r="G29" s="172" t="str">
        <f ca="1">IF($D29&lt;&gt;"Serviço","",OFFSET(ORÇAMENTO!S$15,ROW(G29)-ROW(G$15),0))</f>
        <v/>
      </c>
      <c r="H29" s="124">
        <f ca="1">IF($D29&lt;&gt;"Serviço",0,IF(ACOMPANHAMENTO="BM",ROUND(OFFSET(ORÇAMENTO!AJ$15,ROW(H29)-ROW(H$15),0),15-13*ORÇAMENTO!$AF$7),SUMPRODUCT(($Q$12:$AA$12&lt;&gt;"")*ROUND($Q29:$AA29,15-13*ORÇAMENTO!$AF$7))))</f>
        <v>0</v>
      </c>
      <c r="I29" s="561"/>
      <c r="K29" s="173" t="s">
        <v>476</v>
      </c>
      <c r="L29" s="174" t="s">
        <v>257</v>
      </c>
      <c r="M29" s="175" t="str">
        <f ca="1">IF($D29&lt;&gt;"Serviço","",IF(AUTOEVENTO="manual",$A29,IF(ISERROR(MATCH($A29,$A$15:OFFSET($A29,-1,0),0)),MAX($M$15:OFFSET(M29,-1,0))+1,INDEX($M$15:OFFSET(M29,-1,0),MATCH($A29,$A$15:OFFSET($A29,-1,0),0)))))</f>
        <v/>
      </c>
      <c r="N29" s="176" t="str">
        <f ca="1">IF($D29&lt;&gt;"Serviço","",IF(AUTOEVENTO="Manual",IF($A29=0,"&lt;-- defina o número do agrupador",OFFSET(EVENTOS!$D$14,$A29,0)),OFFSET($F$15,$A29,0)))</f>
        <v/>
      </c>
      <c r="O29" s="177"/>
      <c r="Q29" s="177"/>
      <c r="R29" s="178"/>
      <c r="S29" s="178"/>
      <c r="T29" s="178"/>
      <c r="U29" s="178"/>
      <c r="V29" s="178"/>
      <c r="W29" s="178"/>
      <c r="X29" s="178"/>
      <c r="Y29" s="178"/>
      <c r="Z29" s="179"/>
      <c r="AB29" s="544">
        <f ca="1">IF(AND($D29="Serviço",AB$12&lt;&gt;0,$H29&gt;0,OR(AUTOEVENTO&lt;&gt;"manual",$M29&lt;&gt;1)),ROUND(OFFSET($P29,0,AB$13),15-13*ORÇAMENTO!$AF$7)/$H29*OFFSET(ORÇAMENTO!$X$15,ROW(AB29)-ROW(AB$15),0),0)</f>
        <v>0</v>
      </c>
      <c r="AC29" s="545">
        <f ca="1">IF(AND($D29="Serviço",AC$12&lt;&gt;0,$H29&gt;0,OR(AUTOEVENTO&lt;&gt;"manual",$M29&lt;&gt;1)),ROUND(OFFSET($P29,0,AC$13),15-13*ORÇAMENTO!$AF$7)/$H29*OFFSET(ORÇAMENTO!$X$15,ROW(AC29)-ROW(AC$15),0),0)</f>
        <v>0</v>
      </c>
      <c r="AD29" s="545">
        <f ca="1">IF(AND($D29="Serviço",AD$12&lt;&gt;0,$H29&gt;0,OR(AUTOEVENTO&lt;&gt;"manual",$M29&lt;&gt;1)),ROUND(OFFSET($P29,0,AD$13),15-13*ORÇAMENTO!$AF$7)/$H29*OFFSET(ORÇAMENTO!$X$15,ROW(AD29)-ROW(AD$15),0),0)</f>
        <v>0</v>
      </c>
      <c r="AE29" s="545">
        <f ca="1">IF(AND($D29="Serviço",AE$12&lt;&gt;0,$H29&gt;0,OR(AUTOEVENTO&lt;&gt;"manual",$M29&lt;&gt;1)),ROUND(OFFSET($P29,0,AE$13),15-13*ORÇAMENTO!$AF$7)/$H29*OFFSET(ORÇAMENTO!$X$15,ROW(AE29)-ROW(AE$15),0),0)</f>
        <v>0</v>
      </c>
      <c r="AF29" s="545">
        <f ca="1">IF(AND($D29="Serviço",AF$12&lt;&gt;0,$H29&gt;0,OR(AUTOEVENTO&lt;&gt;"manual",$M29&lt;&gt;1)),ROUND(OFFSET($P29,0,AF$13),15-13*ORÇAMENTO!$AF$7)/$H29*OFFSET(ORÇAMENTO!$X$15,ROW(AF29)-ROW(AF$15),0),0)</f>
        <v>0</v>
      </c>
      <c r="AG29" s="545">
        <f ca="1">IF(AND($D29="Serviço",AG$12&lt;&gt;0,$H29&gt;0,OR(AUTOEVENTO&lt;&gt;"manual",$M29&lt;&gt;1)),ROUND(OFFSET($P29,0,AG$13),15-13*ORÇAMENTO!$AF$7)/$H29*OFFSET(ORÇAMENTO!$X$15,ROW(AG29)-ROW(AG$15),0),0)</f>
        <v>0</v>
      </c>
      <c r="AH29" s="545">
        <f ca="1">IF(AND($D29="Serviço",AH$12&lt;&gt;0,$H29&gt;0,OR(AUTOEVENTO&lt;&gt;"manual",$M29&lt;&gt;1)),ROUND(OFFSET($P29,0,AH$13),15-13*ORÇAMENTO!$AF$7)/$H29*OFFSET(ORÇAMENTO!$X$15,ROW(AH29)-ROW(AH$15),0),0)</f>
        <v>0</v>
      </c>
      <c r="AI29" s="545">
        <f ca="1">IF(AND($D29="Serviço",AI$12&lt;&gt;0,$H29&gt;0,OR(AUTOEVENTO&lt;&gt;"manual",$M29&lt;&gt;1)),ROUND(OFFSET($P29,0,AI$13),15-13*ORÇAMENTO!$AF$7)/$H29*OFFSET(ORÇAMENTO!$X$15,ROW(AI29)-ROW(AI$15),0),0)</f>
        <v>0</v>
      </c>
      <c r="AJ29" s="545">
        <f ca="1">IF(AND($D29="Serviço",AJ$12&lt;&gt;0,$H29&gt;0,OR(AUTOEVENTO&lt;&gt;"manual",$M29&lt;&gt;1)),ROUND(OFFSET($P29,0,AJ$13),15-13*ORÇAMENTO!$AF$7)/$H29*OFFSET(ORÇAMENTO!$X$15,ROW(AJ29)-ROW(AJ$15),0),0)</f>
        <v>0</v>
      </c>
      <c r="AK29" s="546">
        <f ca="1">IF(AND($D29="Serviço",AK$12&lt;&gt;0,$H29&gt;0,OR(AUTOEVENTO&lt;&gt;"manual",$M29&lt;&gt;1)),ROUND(OFFSET($P29,0,AK$13),15-13*ORÇAMENTO!$AF$7)/$H29*OFFSET(ORÇAMENTO!$X$15,ROW(AK29)-ROW(AK$15),0),0)</f>
        <v>0</v>
      </c>
      <c r="AM29" s="180">
        <f ca="1">IF($D29&lt;&gt;"Serviço",0,IF(AND(AUTOEVENTO="Manual",$M29=1),0,IF(OFFSET(CRONOPLE!$F$14,$M29,AM$13)="",10^12,OFFSET(CRONOPLE!$F$14,$M29,AM$13))))</f>
        <v>0</v>
      </c>
      <c r="AN29" s="180">
        <f ca="1">IF($D29&lt;&gt;"Serviço",0,IF(AND(AUTOEVENTO="Manual",$M29=1),0,IF(OFFSET(CRONOPLE!$F$14,$M29,AN$13)="",10^12,OFFSET(CRONOPLE!$F$14,$M29,AN$13))))</f>
        <v>0</v>
      </c>
      <c r="AO29" s="180">
        <f ca="1">IF($D29&lt;&gt;"Serviço",0,IF(AND(AUTOEVENTO="Manual",$M29=1),0,IF(OFFSET(CRONOPLE!$F$14,$M29,AO$13)="",10^12,OFFSET(CRONOPLE!$F$14,$M29,AO$13))))</f>
        <v>0</v>
      </c>
      <c r="AP29" s="180">
        <f ca="1">IF($D29&lt;&gt;"Serviço",0,IF(AND(AUTOEVENTO="Manual",$M29=1),0,IF(OFFSET(CRONOPLE!$F$14,$M29,AP$13)="",10^12,OFFSET(CRONOPLE!$F$14,$M29,AP$13))))</f>
        <v>0</v>
      </c>
      <c r="AQ29" s="180">
        <f ca="1">IF($D29&lt;&gt;"Serviço",0,IF(AND(AUTOEVENTO="Manual",$M29=1),0,IF(OFFSET(CRONOPLE!$F$14,$M29,AQ$13)="",10^12,OFFSET(CRONOPLE!$F$14,$M29,AQ$13))))</f>
        <v>0</v>
      </c>
      <c r="AR29" s="180">
        <f ca="1">IF($D29&lt;&gt;"Serviço",0,IF(AND(AUTOEVENTO="Manual",$M29=1),0,IF(OFFSET(CRONOPLE!$F$14,$M29,AR$13)="",10^12,OFFSET(CRONOPLE!$F$14,$M29,AR$13))))</f>
        <v>0</v>
      </c>
      <c r="AS29" s="180">
        <f ca="1">IF($D29&lt;&gt;"Serviço",0,IF(AND(AUTOEVENTO="Manual",$M29=1),0,IF(OFFSET(CRONOPLE!$F$14,$M29,AS$13)="",10^12,OFFSET(CRONOPLE!$F$14,$M29,AS$13))))</f>
        <v>0</v>
      </c>
      <c r="AT29" s="180">
        <f ca="1">IF($D29&lt;&gt;"Serviço",0,IF(AND(AUTOEVENTO="Manual",$M29=1),0,IF(OFFSET(CRONOPLE!$F$14,$M29,AT$13)="",10^12,OFFSET(CRONOPLE!$F$14,$M29,AT$13))))</f>
        <v>0</v>
      </c>
      <c r="AU29" s="180">
        <f ca="1">IF($D29&lt;&gt;"Serviço",0,IF(AND(AUTOEVENTO="Manual",$M29=1),0,IF(OFFSET(CRONOPLE!$F$14,$M29,AU$13)="",10^12,OFFSET(CRONOPLE!$F$14,$M29,AU$13))))</f>
        <v>0</v>
      </c>
      <c r="AV29" s="180">
        <f ca="1">IF($D29&lt;&gt;"Serviço",0,IF(AND(AUTOEVENTO="Manual",$M29=1),0,IF(OFFSET(CRONOPLE!$F$14,$M29,AV$13)="",10^12,OFFSET(CRONOPLE!$F$14,$M29,AV$13))))</f>
        <v>0</v>
      </c>
      <c r="AX29" s="181">
        <f ca="1">IF($D29&lt;&gt;"Serviço",0,IF(OR(AND(AUTOEVENTO="Manual",$M29=1),$M29&gt;(ROW(PLE.lastrow)-ROW(PLE.firstrow))),0,IF(OFFSET(PLE!$G$14,$M29,AX$13)="",10^12,OFFSET(PLE!$G$14,$M29,AX$13))))</f>
        <v>0</v>
      </c>
      <c r="AY29" s="181">
        <f ca="1">IF($D29&lt;&gt;"Serviço",0,IF(OR(AND(AUTOEVENTO="Manual",$M29=1),$M29&gt;(ROW(PLE.lastrow)-ROW(PLE.firstrow))),0,IF(OFFSET(PLE!$G$14,$M29,AY$13)="",10^12,OFFSET(PLE!$G$14,$M29,AY$13))))</f>
        <v>0</v>
      </c>
      <c r="AZ29" s="181">
        <f ca="1">IF($D29&lt;&gt;"Serviço",0,IF(OR(AND(AUTOEVENTO="Manual",$M29=1),$M29&gt;(ROW(PLE.lastrow)-ROW(PLE.firstrow))),0,IF(OFFSET(PLE!$G$14,$M29,AZ$13)="",10^12,OFFSET(PLE!$G$14,$M29,AZ$13))))</f>
        <v>0</v>
      </c>
      <c r="BA29" s="181">
        <f ca="1">IF($D29&lt;&gt;"Serviço",0,IF(OR(AND(AUTOEVENTO="Manual",$M29=1),$M29&gt;(ROW(PLE.lastrow)-ROW(PLE.firstrow))),0,IF(OFFSET(PLE!$G$14,$M29,BA$13)="",10^12,OFFSET(PLE!$G$14,$M29,BA$13))))</f>
        <v>0</v>
      </c>
      <c r="BB29" s="181">
        <f ca="1">IF($D29&lt;&gt;"Serviço",0,IF(OR(AND(AUTOEVENTO="Manual",$M29=1),$M29&gt;(ROW(PLE.lastrow)-ROW(PLE.firstrow))),0,IF(OFFSET(PLE!$G$14,$M29,BB$13)="",10^12,OFFSET(PLE!$G$14,$M29,BB$13))))</f>
        <v>0</v>
      </c>
      <c r="BC29" s="181">
        <f ca="1">IF($D29&lt;&gt;"Serviço",0,IF(OR(AND(AUTOEVENTO="Manual",$M29=1),$M29&gt;(ROW(PLE.lastrow)-ROW(PLE.firstrow))),0,IF(OFFSET(PLE!$G$14,$M29,BC$13)="",10^12,OFFSET(PLE!$G$14,$M29,BC$13))))</f>
        <v>0</v>
      </c>
      <c r="BD29" s="181">
        <f ca="1">IF($D29&lt;&gt;"Serviço",0,IF(OR(AND(AUTOEVENTO="Manual",$M29=1),$M29&gt;(ROW(PLE.lastrow)-ROW(PLE.firstrow))),0,IF(OFFSET(PLE!$G$14,$M29,BD$13)="",10^12,OFFSET(PLE!$G$14,$M29,BD$13))))</f>
        <v>0</v>
      </c>
      <c r="BE29" s="181">
        <f ca="1">IF($D29&lt;&gt;"Serviço",0,IF(OR(AND(AUTOEVENTO="Manual",$M29=1),$M29&gt;(ROW(PLE.lastrow)-ROW(PLE.firstrow))),0,IF(OFFSET(PLE!$G$14,$M29,BE$13)="",10^12,OFFSET(PLE!$G$14,$M29,BE$13))))</f>
        <v>0</v>
      </c>
      <c r="BF29" s="181">
        <f ca="1">IF($D29&lt;&gt;"Serviço",0,IF(OR(AND(AUTOEVENTO="Manual",$M29=1),$M29&gt;(ROW(PLE.lastrow)-ROW(PLE.firstrow))),0,IF(OFFSET(PLE!$G$14,$M29,BF$13)="",10^12,OFFSET(PLE!$G$14,$M29,BF$13))))</f>
        <v>0</v>
      </c>
      <c r="BG29" s="181">
        <f ca="1">IF($D29&lt;&gt;"Serviço",0,IF(OR(AND(AUTOEVENTO="Manual",$M29=1),$M29&gt;(ROW(PLE.lastrow)-ROW(PLE.firstrow))),0,IF(OFFSET(PLE!$G$14,$M29,BG$13)="",10^12,OFFSET(PLE!$G$14,$M29,BG$13))))</f>
        <v>0</v>
      </c>
    </row>
    <row r="30" spans="1:59" ht="25.5" x14ac:dyDescent="0.2">
      <c r="A30" s="7">
        <f t="shared" ca="1" si="9"/>
        <v>5</v>
      </c>
      <c r="B30" s="7" t="str">
        <f ca="1">OFFSET(ORÇAMENTO!C$15,ROW(B30)-ROW(B$15),0)</f>
        <v>S</v>
      </c>
      <c r="C30" s="7" t="str">
        <f ca="1">OFFSET(ORÇAMENTO!L$15,ROW(C30)-ROW(C$15),0)</f>
        <v/>
      </c>
      <c r="D30" s="118" t="str">
        <f ca="1">OFFSET(ORÇAMENTO!N$15,ROW(D30)-ROW(D$15),0)</f>
        <v>Serviço</v>
      </c>
      <c r="E30" s="119" t="str">
        <f ca="1">OFFSET(ORÇAMENTO!O$15,ROW(E30)-ROW(E$15),0)</f>
        <v>-</v>
      </c>
      <c r="F30" s="171" t="str">
        <f ca="1">OFFSET(ORÇAMENTO!R$15,ROW(F30)-ROW(F$15),0)</f>
        <v>(abra o arquivo 'Referência 04-2024.xls)</v>
      </c>
      <c r="G30" s="172" t="str">
        <f ca="1">IF($D30&lt;&gt;"Serviço","",OFFSET(ORÇAMENTO!S$15,ROW(G30)-ROW(G$15),0))</f>
        <v>-</v>
      </c>
      <c r="H30" s="124">
        <f ca="1">IF($D30&lt;&gt;"Serviço",0,IF(ACOMPANHAMENTO="BM",ROUND(OFFSET(ORÇAMENTO!AJ$15,ROW(H30)-ROW(H$15),0),15-13*ORÇAMENTO!$AF$7),SUMPRODUCT(($Q$12:$AA$12&lt;&gt;"")*ROUND($Q30:$AA30,15-13*ORÇAMENTO!$AF$7))))</f>
        <v>1</v>
      </c>
      <c r="I30" s="561" t="s">
        <v>477</v>
      </c>
      <c r="K30" s="173" t="s">
        <v>476</v>
      </c>
      <c r="L30" s="174" t="s">
        <v>257</v>
      </c>
      <c r="M30" s="175">
        <f ca="1">IF($D30&lt;&gt;"Serviço","",IF(AUTOEVENTO="manual",$A30,IF(ISERROR(MATCH($A30,$A$15:OFFSET($A30,-1,0),0)),MAX($M$15:OFFSET(M30,-1,0))+1,INDEX($M$15:OFFSET(M30,-1,0),MATCH($A30,$A$15:OFFSET($A30,-1,0),0)))))</f>
        <v>5</v>
      </c>
      <c r="N30" s="176" t="str">
        <f ca="1">IF($D30&lt;&gt;"Serviço","",IF(AUTOEVENTO="Manual",IF($A30=0,"&lt;-- defina o número do agrupador",OFFSET(EVENTOS!$D$14,$A30,0)),OFFSET($F$15,$A30,0)))</f>
        <v xml:space="preserve">Sinalização Vertical </v>
      </c>
      <c r="O30" s="177"/>
      <c r="Q30" s="177"/>
      <c r="R30" s="178">
        <v>1</v>
      </c>
      <c r="S30" s="178"/>
      <c r="T30" s="178"/>
      <c r="U30" s="178"/>
      <c r="V30" s="178"/>
      <c r="W30" s="178"/>
      <c r="X30" s="178"/>
      <c r="Y30" s="178"/>
      <c r="Z30" s="179"/>
      <c r="AB30" s="544">
        <f ca="1">IF(AND($D30="Serviço",AB$12&lt;&gt;0,$H30&gt;0,OR(AUTOEVENTO&lt;&gt;"manual",$M30&lt;&gt;1)),ROUND(OFFSET($P30,0,AB$13),15-13*ORÇAMENTO!$AF$7)/$H30*OFFSET(ORÇAMENTO!$X$15,ROW(AB30)-ROW(AB$15),0),0)</f>
        <v>0</v>
      </c>
      <c r="AC30" s="545">
        <f ca="1">IF(AND($D30="Serviço",AC$12&lt;&gt;0,$H30&gt;0,OR(AUTOEVENTO&lt;&gt;"manual",$M30&lt;&gt;1)),ROUND(OFFSET($P30,0,AC$13),15-13*ORÇAMENTO!$AF$7)/$H30*OFFSET(ORÇAMENTO!$X$15,ROW(AC30)-ROW(AC$15),0),0)</f>
        <v>0</v>
      </c>
      <c r="AD30" s="545">
        <f ca="1">IF(AND($D30="Serviço",AD$12&lt;&gt;0,$H30&gt;0,OR(AUTOEVENTO&lt;&gt;"manual",$M30&lt;&gt;1)),ROUND(OFFSET($P30,0,AD$13),15-13*ORÇAMENTO!$AF$7)/$H30*OFFSET(ORÇAMENTO!$X$15,ROW(AD30)-ROW(AD$15),0),0)</f>
        <v>0</v>
      </c>
      <c r="AE30" s="545">
        <f ca="1">IF(AND($D30="Serviço",AE$12&lt;&gt;0,$H30&gt;0,OR(AUTOEVENTO&lt;&gt;"manual",$M30&lt;&gt;1)),ROUND(OFFSET($P30,0,AE$13),15-13*ORÇAMENTO!$AF$7)/$H30*OFFSET(ORÇAMENTO!$X$15,ROW(AE30)-ROW(AE$15),0),0)</f>
        <v>0</v>
      </c>
      <c r="AF30" s="545">
        <f ca="1">IF(AND($D30="Serviço",AF$12&lt;&gt;0,$H30&gt;0,OR(AUTOEVENTO&lt;&gt;"manual",$M30&lt;&gt;1)),ROUND(OFFSET($P30,0,AF$13),15-13*ORÇAMENTO!$AF$7)/$H30*OFFSET(ORÇAMENTO!$X$15,ROW(AF30)-ROW(AF$15),0),0)</f>
        <v>0</v>
      </c>
      <c r="AG30" s="545">
        <f ca="1">IF(AND($D30="Serviço",AG$12&lt;&gt;0,$H30&gt;0,OR(AUTOEVENTO&lt;&gt;"manual",$M30&lt;&gt;1)),ROUND(OFFSET($P30,0,AG$13),15-13*ORÇAMENTO!$AF$7)/$H30*OFFSET(ORÇAMENTO!$X$15,ROW(AG30)-ROW(AG$15),0),0)</f>
        <v>0</v>
      </c>
      <c r="AH30" s="545">
        <f ca="1">IF(AND($D30="Serviço",AH$12&lt;&gt;0,$H30&gt;0,OR(AUTOEVENTO&lt;&gt;"manual",$M30&lt;&gt;1)),ROUND(OFFSET($P30,0,AH$13),15-13*ORÇAMENTO!$AF$7)/$H30*OFFSET(ORÇAMENTO!$X$15,ROW(AH30)-ROW(AH$15),0),0)</f>
        <v>0</v>
      </c>
      <c r="AI30" s="545">
        <f ca="1">IF(AND($D30="Serviço",AI$12&lt;&gt;0,$H30&gt;0,OR(AUTOEVENTO&lt;&gt;"manual",$M30&lt;&gt;1)),ROUND(OFFSET($P30,0,AI$13),15-13*ORÇAMENTO!$AF$7)/$H30*OFFSET(ORÇAMENTO!$X$15,ROW(AI30)-ROW(AI$15),0),0)</f>
        <v>0</v>
      </c>
      <c r="AJ30" s="545">
        <f ca="1">IF(AND($D30="Serviço",AJ$12&lt;&gt;0,$H30&gt;0,OR(AUTOEVENTO&lt;&gt;"manual",$M30&lt;&gt;1)),ROUND(OFFSET($P30,0,AJ$13),15-13*ORÇAMENTO!$AF$7)/$H30*OFFSET(ORÇAMENTO!$X$15,ROW(AJ30)-ROW(AJ$15),0),0)</f>
        <v>0</v>
      </c>
      <c r="AK30" s="546">
        <f ca="1">IF(AND($D30="Serviço",AK$12&lt;&gt;0,$H30&gt;0,OR(AUTOEVENTO&lt;&gt;"manual",$M30&lt;&gt;1)),ROUND(OFFSET($P30,0,AK$13),15-13*ORÇAMENTO!$AF$7)/$H30*OFFSET(ORÇAMENTO!$X$15,ROW(AK30)-ROW(AK$15),0),0)</f>
        <v>0</v>
      </c>
      <c r="AM30" s="180">
        <f ca="1">IF($D30&lt;&gt;"Serviço",0,IF(AND(AUTOEVENTO="Manual",$M30=1),0,IF(OFFSET(CRONOPLE!$F$14,$M30,AM$13)="",10^12,OFFSET(CRONOPLE!$F$14,$M30,AM$13))))</f>
        <v>1000000000000</v>
      </c>
      <c r="AN30" s="180">
        <f ca="1">IF($D30&lt;&gt;"Serviço",0,IF(AND(AUTOEVENTO="Manual",$M30=1),0,IF(OFFSET(CRONOPLE!$F$14,$M30,AN$13)="",10^12,OFFSET(CRONOPLE!$F$14,$M30,AN$13))))</f>
        <v>1</v>
      </c>
      <c r="AO30" s="180">
        <f ca="1">IF($D30&lt;&gt;"Serviço",0,IF(AND(AUTOEVENTO="Manual",$M30=1),0,IF(OFFSET(CRONOPLE!$F$14,$M30,AO$13)="",10^12,OFFSET(CRONOPLE!$F$14,$M30,AO$13))))</f>
        <v>1000000000000</v>
      </c>
      <c r="AP30" s="180">
        <f ca="1">IF($D30&lt;&gt;"Serviço",0,IF(AND(AUTOEVENTO="Manual",$M30=1),0,IF(OFFSET(CRONOPLE!$F$14,$M30,AP$13)="",10^12,OFFSET(CRONOPLE!$F$14,$M30,AP$13))))</f>
        <v>1000000000000</v>
      </c>
      <c r="AQ30" s="180">
        <f ca="1">IF($D30&lt;&gt;"Serviço",0,IF(AND(AUTOEVENTO="Manual",$M30=1),0,IF(OFFSET(CRONOPLE!$F$14,$M30,AQ$13)="",10^12,OFFSET(CRONOPLE!$F$14,$M30,AQ$13))))</f>
        <v>1000000000000</v>
      </c>
      <c r="AR30" s="180">
        <f ca="1">IF($D30&lt;&gt;"Serviço",0,IF(AND(AUTOEVENTO="Manual",$M30=1),0,IF(OFFSET(CRONOPLE!$F$14,$M30,AR$13)="",10^12,OFFSET(CRONOPLE!$F$14,$M30,AR$13))))</f>
        <v>1000000000000</v>
      </c>
      <c r="AS30" s="180">
        <f ca="1">IF($D30&lt;&gt;"Serviço",0,IF(AND(AUTOEVENTO="Manual",$M30=1),0,IF(OFFSET(CRONOPLE!$F$14,$M30,AS$13)="",10^12,OFFSET(CRONOPLE!$F$14,$M30,AS$13))))</f>
        <v>1000000000000</v>
      </c>
      <c r="AT30" s="180">
        <f ca="1">IF($D30&lt;&gt;"Serviço",0,IF(AND(AUTOEVENTO="Manual",$M30=1),0,IF(OFFSET(CRONOPLE!$F$14,$M30,AT$13)="",10^12,OFFSET(CRONOPLE!$F$14,$M30,AT$13))))</f>
        <v>1000000000000</v>
      </c>
      <c r="AU30" s="180">
        <f ca="1">IF($D30&lt;&gt;"Serviço",0,IF(AND(AUTOEVENTO="Manual",$M30=1),0,IF(OFFSET(CRONOPLE!$F$14,$M30,AU$13)="",10^12,OFFSET(CRONOPLE!$F$14,$M30,AU$13))))</f>
        <v>1000000000000</v>
      </c>
      <c r="AV30" s="180">
        <f ca="1">IF($D30&lt;&gt;"Serviço",0,IF(AND(AUTOEVENTO="Manual",$M30=1),0,IF(OFFSET(CRONOPLE!$F$14,$M30,AV$13)="",10^12,OFFSET(CRONOPLE!$F$14,$M30,AV$13))))</f>
        <v>1000000000000</v>
      </c>
      <c r="AX30" s="181">
        <f ca="1">IF($D30&lt;&gt;"Serviço",0,IF(OR(AND(AUTOEVENTO="Manual",$M30=1),$M30&gt;(ROW(PLE.lastrow)-ROW(PLE.firstrow))),0,IF(OFFSET(PLE!$G$14,$M30,AX$13)="",10^12,OFFSET(PLE!$G$14,$M30,AX$13))))</f>
        <v>1000000000000</v>
      </c>
      <c r="AY30" s="181">
        <f ca="1">IF($D30&lt;&gt;"Serviço",0,IF(OR(AND(AUTOEVENTO="Manual",$M30=1),$M30&gt;(ROW(PLE.lastrow)-ROW(PLE.firstrow))),0,IF(OFFSET(PLE!$G$14,$M30,AY$13)="",10^12,OFFSET(PLE!$G$14,$M30,AY$13))))</f>
        <v>1000000000000</v>
      </c>
      <c r="AZ30" s="181">
        <f ca="1">IF($D30&lt;&gt;"Serviço",0,IF(OR(AND(AUTOEVENTO="Manual",$M30=1),$M30&gt;(ROW(PLE.lastrow)-ROW(PLE.firstrow))),0,IF(OFFSET(PLE!$G$14,$M30,AZ$13)="",10^12,OFFSET(PLE!$G$14,$M30,AZ$13))))</f>
        <v>1000000000000</v>
      </c>
      <c r="BA30" s="181">
        <f ca="1">IF($D30&lt;&gt;"Serviço",0,IF(OR(AND(AUTOEVENTO="Manual",$M30=1),$M30&gt;(ROW(PLE.lastrow)-ROW(PLE.firstrow))),0,IF(OFFSET(PLE!$G$14,$M30,BA$13)="",10^12,OFFSET(PLE!$G$14,$M30,BA$13))))</f>
        <v>1000000000000</v>
      </c>
      <c r="BB30" s="181">
        <f ca="1">IF($D30&lt;&gt;"Serviço",0,IF(OR(AND(AUTOEVENTO="Manual",$M30=1),$M30&gt;(ROW(PLE.lastrow)-ROW(PLE.firstrow))),0,IF(OFFSET(PLE!$G$14,$M30,BB$13)="",10^12,OFFSET(PLE!$G$14,$M30,BB$13))))</f>
        <v>1000000000000</v>
      </c>
      <c r="BC30" s="181">
        <f ca="1">IF($D30&lt;&gt;"Serviço",0,IF(OR(AND(AUTOEVENTO="Manual",$M30=1),$M30&gt;(ROW(PLE.lastrow)-ROW(PLE.firstrow))),0,IF(OFFSET(PLE!$G$14,$M30,BC$13)="",10^12,OFFSET(PLE!$G$14,$M30,BC$13))))</f>
        <v>1000000000000</v>
      </c>
      <c r="BD30" s="181">
        <f ca="1">IF($D30&lt;&gt;"Serviço",0,IF(OR(AND(AUTOEVENTO="Manual",$M30=1),$M30&gt;(ROW(PLE.lastrow)-ROW(PLE.firstrow))),0,IF(OFFSET(PLE!$G$14,$M30,BD$13)="",10^12,OFFSET(PLE!$G$14,$M30,BD$13))))</f>
        <v>1000000000000</v>
      </c>
      <c r="BE30" s="181">
        <f ca="1">IF($D30&lt;&gt;"Serviço",0,IF(OR(AND(AUTOEVENTO="Manual",$M30=1),$M30&gt;(ROW(PLE.lastrow)-ROW(PLE.firstrow))),0,IF(OFFSET(PLE!$G$14,$M30,BE$13)="",10^12,OFFSET(PLE!$G$14,$M30,BE$13))))</f>
        <v>1000000000000</v>
      </c>
      <c r="BF30" s="181">
        <f ca="1">IF($D30&lt;&gt;"Serviço",0,IF(OR(AND(AUTOEVENTO="Manual",$M30=1),$M30&gt;(ROW(PLE.lastrow)-ROW(PLE.firstrow))),0,IF(OFFSET(PLE!$G$14,$M30,BF$13)="",10^12,OFFSET(PLE!$G$14,$M30,BF$13))))</f>
        <v>1000000000000</v>
      </c>
      <c r="BG30" s="181">
        <f ca="1">IF($D30&lt;&gt;"Serviço",0,IF(OR(AND(AUTOEVENTO="Manual",$M30=1),$M30&gt;(ROW(PLE.lastrow)-ROW(PLE.firstrow))),0,IF(OFFSET(PLE!$G$14,$M30,BG$13)="",10^12,OFFSET(PLE!$G$14,$M30,BG$13))))</f>
        <v>1000000000000</v>
      </c>
    </row>
    <row r="31" spans="1:59" s="575" customFormat="1" ht="25.5" x14ac:dyDescent="0.2">
      <c r="A31" s="7">
        <f ca="1">IF(AUTOEVENTO="Manual",IF(K31&lt;&gt;"",MIN(VALUE(LEFT(K31,FIND(".",K31)-1)),COUNTA(EVENTOS.Lista)),0),IF(OR($B31&gt;AUTOEVENTO,$B31="S",$B31=0),SUBSTITUTE(OFFSET($A31,-1,0),IF($D31="Serviço",".",""),""),ROW(A31)-ROW($A$15)&amp;"."))</f>
        <v>5</v>
      </c>
      <c r="B31" s="7" t="str">
        <f ca="1">OFFSET(ORÇAMENTO!C$15,ROW(B31)-ROW(B$15),0)</f>
        <v>S</v>
      </c>
      <c r="C31" s="7" t="str">
        <f ca="1">OFFSET(ORÇAMENTO!L$15,ROW(C31)-ROW(C$15),0)</f>
        <v/>
      </c>
      <c r="D31" s="118" t="str">
        <f ca="1">OFFSET(ORÇAMENTO!N$15,ROW(D31)-ROW(D$15),0)</f>
        <v>Serviço</v>
      </c>
      <c r="E31" s="119" t="str">
        <f ca="1">OFFSET(ORÇAMENTO!O$15,ROW(E31)-ROW(E$15),0)</f>
        <v>-</v>
      </c>
      <c r="F31" s="171" t="str">
        <f ca="1">OFFSET(ORÇAMENTO!R$15,ROW(F31)-ROW(F$15),0)</f>
        <v>(abra o arquivo 'Referência 04-2024.xls)</v>
      </c>
      <c r="G31" s="172" t="str">
        <f ca="1">IF($D31&lt;&gt;"Serviço","",OFFSET(ORÇAMENTO!S$15,ROW(G31)-ROW(G$15),0))</f>
        <v>-</v>
      </c>
      <c r="H31" s="124">
        <f ca="1">IF($D31&lt;&gt;"Serviço",0,IF(ACOMPANHAMENTO="BM",ROUND(OFFSET(ORÇAMENTO!AJ$15,ROW(H31)-ROW(H$15),0),15-13*ORÇAMENTO!$AF$7),SUMPRODUCT(($Q$12:$AA$12&lt;&gt;"")*ROUND($Q31:$AA31,15-13*ORÇAMENTO!$AF$7))))</f>
        <v>1</v>
      </c>
      <c r="I31" s="561" t="s">
        <v>477</v>
      </c>
      <c r="K31" s="173" t="s">
        <v>476</v>
      </c>
      <c r="L31" s="174" t="s">
        <v>257</v>
      </c>
      <c r="M31" s="175">
        <f ca="1">IF($D31&lt;&gt;"Serviço","",IF(AUTOEVENTO="manual",$A31,IF(ISERROR(MATCH($A31,$A$15:OFFSET($A31,-1,0),0)),MAX($M$15:OFFSET(M31,-1,0))+1,INDEX($M$15:OFFSET(M31,-1,0),MATCH($A31,$A$15:OFFSET($A31,-1,0),0)))))</f>
        <v>5</v>
      </c>
      <c r="N31" s="176" t="str">
        <f ca="1">IF($D31&lt;&gt;"Serviço","",IF(AUTOEVENTO="Manual",IF($A31=0,"&lt;-- defina o número do agrupador",OFFSET(EVENTOS!$D$14,$A31,0)),OFFSET($F$15,$A31,0)))</f>
        <v xml:space="preserve">Sinalização Vertical </v>
      </c>
      <c r="O31" s="177"/>
      <c r="Q31" s="177"/>
      <c r="R31" s="178">
        <v>1</v>
      </c>
      <c r="S31" s="178"/>
      <c r="T31" s="178"/>
      <c r="U31" s="178"/>
      <c r="V31" s="178"/>
      <c r="W31" s="178"/>
      <c r="X31" s="178"/>
      <c r="Y31" s="178"/>
      <c r="Z31" s="179"/>
      <c r="AB31" s="544">
        <f ca="1">IF(AND($D31="Serviço",AB$12&lt;&gt;0,$H31&gt;0,OR(AUTOEVENTO&lt;&gt;"manual",$M31&lt;&gt;1)),ROUND(OFFSET($P31,0,AB$13),15-13*ORÇAMENTO!$AF$7)/$H31*OFFSET(ORÇAMENTO!$X$15,ROW(AB31)-ROW(AB$15),0),0)</f>
        <v>0</v>
      </c>
      <c r="AC31" s="545">
        <f ca="1">IF(AND($D31="Serviço",AC$12&lt;&gt;0,$H31&gt;0,OR(AUTOEVENTO&lt;&gt;"manual",$M31&lt;&gt;1)),ROUND(OFFSET($P31,0,AC$13),15-13*ORÇAMENTO!$AF$7)/$H31*OFFSET(ORÇAMENTO!$X$15,ROW(AC31)-ROW(AC$15),0),0)</f>
        <v>0</v>
      </c>
      <c r="AD31" s="545">
        <f ca="1">IF(AND($D31="Serviço",AD$12&lt;&gt;0,$H31&gt;0,OR(AUTOEVENTO&lt;&gt;"manual",$M31&lt;&gt;1)),ROUND(OFFSET($P31,0,AD$13),15-13*ORÇAMENTO!$AF$7)/$H31*OFFSET(ORÇAMENTO!$X$15,ROW(AD31)-ROW(AD$15),0),0)</f>
        <v>0</v>
      </c>
      <c r="AE31" s="545">
        <f ca="1">IF(AND($D31="Serviço",AE$12&lt;&gt;0,$H31&gt;0,OR(AUTOEVENTO&lt;&gt;"manual",$M31&lt;&gt;1)),ROUND(OFFSET($P31,0,AE$13),15-13*ORÇAMENTO!$AF$7)/$H31*OFFSET(ORÇAMENTO!$X$15,ROW(AE31)-ROW(AE$15),0),0)</f>
        <v>0</v>
      </c>
      <c r="AF31" s="545">
        <f ca="1">IF(AND($D31="Serviço",AF$12&lt;&gt;0,$H31&gt;0,OR(AUTOEVENTO&lt;&gt;"manual",$M31&lt;&gt;1)),ROUND(OFFSET($P31,0,AF$13),15-13*ORÇAMENTO!$AF$7)/$H31*OFFSET(ORÇAMENTO!$X$15,ROW(AF31)-ROW(AF$15),0),0)</f>
        <v>0</v>
      </c>
      <c r="AG31" s="545">
        <f ca="1">IF(AND($D31="Serviço",AG$12&lt;&gt;0,$H31&gt;0,OR(AUTOEVENTO&lt;&gt;"manual",$M31&lt;&gt;1)),ROUND(OFFSET($P31,0,AG$13),15-13*ORÇAMENTO!$AF$7)/$H31*OFFSET(ORÇAMENTO!$X$15,ROW(AG31)-ROW(AG$15),0),0)</f>
        <v>0</v>
      </c>
      <c r="AH31" s="545">
        <f ca="1">IF(AND($D31="Serviço",AH$12&lt;&gt;0,$H31&gt;0,OR(AUTOEVENTO&lt;&gt;"manual",$M31&lt;&gt;1)),ROUND(OFFSET($P31,0,AH$13),15-13*ORÇAMENTO!$AF$7)/$H31*OFFSET(ORÇAMENTO!$X$15,ROW(AH31)-ROW(AH$15),0),0)</f>
        <v>0</v>
      </c>
      <c r="AI31" s="545">
        <f ca="1">IF(AND($D31="Serviço",AI$12&lt;&gt;0,$H31&gt;0,OR(AUTOEVENTO&lt;&gt;"manual",$M31&lt;&gt;1)),ROUND(OFFSET($P31,0,AI$13),15-13*ORÇAMENTO!$AF$7)/$H31*OFFSET(ORÇAMENTO!$X$15,ROW(AI31)-ROW(AI$15),0),0)</f>
        <v>0</v>
      </c>
      <c r="AJ31" s="545">
        <f ca="1">IF(AND($D31="Serviço",AJ$12&lt;&gt;0,$H31&gt;0,OR(AUTOEVENTO&lt;&gt;"manual",$M31&lt;&gt;1)),ROUND(OFFSET($P31,0,AJ$13),15-13*ORÇAMENTO!$AF$7)/$H31*OFFSET(ORÇAMENTO!$X$15,ROW(AJ31)-ROW(AJ$15),0),0)</f>
        <v>0</v>
      </c>
      <c r="AK31" s="546">
        <f ca="1">IF(AND($D31="Serviço",AK$12&lt;&gt;0,$H31&gt;0,OR(AUTOEVENTO&lt;&gt;"manual",$M31&lt;&gt;1)),ROUND(OFFSET($P31,0,AK$13),15-13*ORÇAMENTO!$AF$7)/$H31*OFFSET(ORÇAMENTO!$X$15,ROW(AK31)-ROW(AK$15),0),0)</f>
        <v>0</v>
      </c>
      <c r="AM31" s="180">
        <f ca="1">IF($D31&lt;&gt;"Serviço",0,IF(AND(AUTOEVENTO="Manual",$M31=1),0,IF(OFFSET(CRONOPLE!$F$14,$M31,AM$13)="",10^12,OFFSET(CRONOPLE!$F$14,$M31,AM$13))))</f>
        <v>1000000000000</v>
      </c>
      <c r="AN31" s="180">
        <f ca="1">IF($D31&lt;&gt;"Serviço",0,IF(AND(AUTOEVENTO="Manual",$M31=1),0,IF(OFFSET(CRONOPLE!$F$14,$M31,AN$13)="",10^12,OFFSET(CRONOPLE!$F$14,$M31,AN$13))))</f>
        <v>1</v>
      </c>
      <c r="AO31" s="180">
        <f ca="1">IF($D31&lt;&gt;"Serviço",0,IF(AND(AUTOEVENTO="Manual",$M31=1),0,IF(OFFSET(CRONOPLE!$F$14,$M31,AO$13)="",10^12,OFFSET(CRONOPLE!$F$14,$M31,AO$13))))</f>
        <v>1000000000000</v>
      </c>
      <c r="AP31" s="180">
        <f ca="1">IF($D31&lt;&gt;"Serviço",0,IF(AND(AUTOEVENTO="Manual",$M31=1),0,IF(OFFSET(CRONOPLE!$F$14,$M31,AP$13)="",10^12,OFFSET(CRONOPLE!$F$14,$M31,AP$13))))</f>
        <v>1000000000000</v>
      </c>
      <c r="AQ31" s="180">
        <f ca="1">IF($D31&lt;&gt;"Serviço",0,IF(AND(AUTOEVENTO="Manual",$M31=1),0,IF(OFFSET(CRONOPLE!$F$14,$M31,AQ$13)="",10^12,OFFSET(CRONOPLE!$F$14,$M31,AQ$13))))</f>
        <v>1000000000000</v>
      </c>
      <c r="AR31" s="180">
        <f ca="1">IF($D31&lt;&gt;"Serviço",0,IF(AND(AUTOEVENTO="Manual",$M31=1),0,IF(OFFSET(CRONOPLE!$F$14,$M31,AR$13)="",10^12,OFFSET(CRONOPLE!$F$14,$M31,AR$13))))</f>
        <v>1000000000000</v>
      </c>
      <c r="AS31" s="180">
        <f ca="1">IF($D31&lt;&gt;"Serviço",0,IF(AND(AUTOEVENTO="Manual",$M31=1),0,IF(OFFSET(CRONOPLE!$F$14,$M31,AS$13)="",10^12,OFFSET(CRONOPLE!$F$14,$M31,AS$13))))</f>
        <v>1000000000000</v>
      </c>
      <c r="AT31" s="180">
        <f ca="1">IF($D31&lt;&gt;"Serviço",0,IF(AND(AUTOEVENTO="Manual",$M31=1),0,IF(OFFSET(CRONOPLE!$F$14,$M31,AT$13)="",10^12,OFFSET(CRONOPLE!$F$14,$M31,AT$13))))</f>
        <v>1000000000000</v>
      </c>
      <c r="AU31" s="180">
        <f ca="1">IF($D31&lt;&gt;"Serviço",0,IF(AND(AUTOEVENTO="Manual",$M31=1),0,IF(OFFSET(CRONOPLE!$F$14,$M31,AU$13)="",10^12,OFFSET(CRONOPLE!$F$14,$M31,AU$13))))</f>
        <v>1000000000000</v>
      </c>
      <c r="AV31" s="180">
        <f ca="1">IF($D31&lt;&gt;"Serviço",0,IF(AND(AUTOEVENTO="Manual",$M31=1),0,IF(OFFSET(CRONOPLE!$F$14,$M31,AV$13)="",10^12,OFFSET(CRONOPLE!$F$14,$M31,AV$13))))</f>
        <v>1000000000000</v>
      </c>
      <c r="AX31" s="181">
        <f ca="1">IF($D31&lt;&gt;"Serviço",0,IF(OR(AND(AUTOEVENTO="Manual",$M31=1),$M31&gt;(ROW(PLE.lastrow)-ROW(PLE.firstrow))),0,IF(OFFSET(PLE!$G$14,$M31,AX$13)="",10^12,OFFSET(PLE!$G$14,$M31,AX$13))))</f>
        <v>1000000000000</v>
      </c>
      <c r="AY31" s="181">
        <f ca="1">IF($D31&lt;&gt;"Serviço",0,IF(OR(AND(AUTOEVENTO="Manual",$M31=1),$M31&gt;(ROW(PLE.lastrow)-ROW(PLE.firstrow))),0,IF(OFFSET(PLE!$G$14,$M31,AY$13)="",10^12,OFFSET(PLE!$G$14,$M31,AY$13))))</f>
        <v>1000000000000</v>
      </c>
      <c r="AZ31" s="181">
        <f ca="1">IF($D31&lt;&gt;"Serviço",0,IF(OR(AND(AUTOEVENTO="Manual",$M31=1),$M31&gt;(ROW(PLE.lastrow)-ROW(PLE.firstrow))),0,IF(OFFSET(PLE!$G$14,$M31,AZ$13)="",10^12,OFFSET(PLE!$G$14,$M31,AZ$13))))</f>
        <v>1000000000000</v>
      </c>
      <c r="BA31" s="181">
        <f ca="1">IF($D31&lt;&gt;"Serviço",0,IF(OR(AND(AUTOEVENTO="Manual",$M31=1),$M31&gt;(ROW(PLE.lastrow)-ROW(PLE.firstrow))),0,IF(OFFSET(PLE!$G$14,$M31,BA$13)="",10^12,OFFSET(PLE!$G$14,$M31,BA$13))))</f>
        <v>1000000000000</v>
      </c>
      <c r="BB31" s="181">
        <f ca="1">IF($D31&lt;&gt;"Serviço",0,IF(OR(AND(AUTOEVENTO="Manual",$M31=1),$M31&gt;(ROW(PLE.lastrow)-ROW(PLE.firstrow))),0,IF(OFFSET(PLE!$G$14,$M31,BB$13)="",10^12,OFFSET(PLE!$G$14,$M31,BB$13))))</f>
        <v>1000000000000</v>
      </c>
      <c r="BC31" s="181">
        <f ca="1">IF($D31&lt;&gt;"Serviço",0,IF(OR(AND(AUTOEVENTO="Manual",$M31=1),$M31&gt;(ROW(PLE.lastrow)-ROW(PLE.firstrow))),0,IF(OFFSET(PLE!$G$14,$M31,BC$13)="",10^12,OFFSET(PLE!$G$14,$M31,BC$13))))</f>
        <v>1000000000000</v>
      </c>
      <c r="BD31" s="181">
        <f ca="1">IF($D31&lt;&gt;"Serviço",0,IF(OR(AND(AUTOEVENTO="Manual",$M31=1),$M31&gt;(ROW(PLE.lastrow)-ROW(PLE.firstrow))),0,IF(OFFSET(PLE!$G$14,$M31,BD$13)="",10^12,OFFSET(PLE!$G$14,$M31,BD$13))))</f>
        <v>1000000000000</v>
      </c>
      <c r="BE31" s="181">
        <f ca="1">IF($D31&lt;&gt;"Serviço",0,IF(OR(AND(AUTOEVENTO="Manual",$M31=1),$M31&gt;(ROW(PLE.lastrow)-ROW(PLE.firstrow))),0,IF(OFFSET(PLE!$G$14,$M31,BE$13)="",10^12,OFFSET(PLE!$G$14,$M31,BE$13))))</f>
        <v>1000000000000</v>
      </c>
      <c r="BF31" s="181">
        <f ca="1">IF($D31&lt;&gt;"Serviço",0,IF(OR(AND(AUTOEVENTO="Manual",$M31=1),$M31&gt;(ROW(PLE.lastrow)-ROW(PLE.firstrow))),0,IF(OFFSET(PLE!$G$14,$M31,BF$13)="",10^12,OFFSET(PLE!$G$14,$M31,BF$13))))</f>
        <v>1000000000000</v>
      </c>
      <c r="BG31" s="181">
        <f ca="1">IF($D31&lt;&gt;"Serviço",0,IF(OR(AND(AUTOEVENTO="Manual",$M31=1),$M31&gt;(ROW(PLE.lastrow)-ROW(PLE.firstrow))),0,IF(OFFSET(PLE!$G$14,$M31,BG$13)="",10^12,OFFSET(PLE!$G$14,$M31,BG$13))))</f>
        <v>1000000000000</v>
      </c>
    </row>
    <row r="32" spans="1:59" ht="5.0999999999999996" customHeight="1" x14ac:dyDescent="0.2">
      <c r="B32" s="7">
        <f ca="1">OFFSET(ORÇAMENTO!C$15,ROW(B32)-ROW(B$15),0)</f>
        <v>-1</v>
      </c>
      <c r="C32" s="7" t="str">
        <f ca="1">OFFSET(ORÇAMENTO!L$15,ROW(C32)-ROW(C$15),0)</f>
        <v>F</v>
      </c>
      <c r="D32" s="483" t="s">
        <v>196</v>
      </c>
      <c r="E32" s="484"/>
      <c r="F32" s="485"/>
      <c r="G32" s="485"/>
      <c r="H32" s="485"/>
      <c r="I32" s="486"/>
      <c r="K32" s="488"/>
      <c r="L32" s="174" t="s">
        <v>257</v>
      </c>
      <c r="M32" s="489"/>
      <c r="N32" s="487"/>
      <c r="O32" s="482"/>
      <c r="Q32" s="484"/>
      <c r="R32" s="485"/>
      <c r="S32" s="485"/>
      <c r="T32" s="485"/>
      <c r="U32" s="485"/>
      <c r="V32" s="485"/>
      <c r="W32" s="485"/>
      <c r="X32" s="485"/>
      <c r="Y32" s="485"/>
      <c r="Z32" s="486"/>
      <c r="AB32" s="138"/>
      <c r="AC32" s="191"/>
      <c r="AD32" s="191"/>
      <c r="AE32" s="191"/>
      <c r="AF32" s="191"/>
      <c r="AG32" s="191"/>
      <c r="AH32" s="191"/>
      <c r="AI32" s="191"/>
      <c r="AJ32" s="191"/>
      <c r="AK32" s="139"/>
      <c r="AM32" s="138"/>
      <c r="AN32" s="191"/>
      <c r="AO32" s="191"/>
      <c r="AP32" s="191"/>
      <c r="AQ32" s="191"/>
      <c r="AR32" s="191"/>
      <c r="AS32" s="191"/>
      <c r="AT32" s="191"/>
      <c r="AU32" s="191"/>
      <c r="AV32" s="139"/>
      <c r="AX32" s="138"/>
      <c r="AY32" s="191"/>
      <c r="AZ32" s="191"/>
      <c r="BA32" s="191"/>
      <c r="BB32" s="191"/>
      <c r="BC32" s="191"/>
      <c r="BD32" s="191"/>
      <c r="BE32" s="191"/>
      <c r="BF32" s="191"/>
      <c r="BG32" s="139"/>
    </row>
    <row r="33" spans="3:25" ht="12.75" customHeight="1" x14ac:dyDescent="0.2"/>
    <row r="34" spans="3:25" ht="12.75" customHeight="1" x14ac:dyDescent="0.2"/>
    <row r="35" spans="3:25" ht="12.75" customHeight="1" x14ac:dyDescent="0.2"/>
    <row r="36" spans="3:25" ht="15" customHeight="1" x14ac:dyDescent="0.2">
      <c r="F36" s="192" t="str">
        <f>Import.Município</f>
        <v>Caçapava do Sul/RS</v>
      </c>
      <c r="I36" s="553"/>
      <c r="J36" s="553"/>
      <c r="K36" s="553"/>
      <c r="L36" s="553"/>
      <c r="M36" s="554"/>
      <c r="N36" s="479"/>
      <c r="T36" s="145"/>
      <c r="U36" s="145"/>
      <c r="V36" s="193"/>
      <c r="W36" s="193"/>
      <c r="X36" s="193"/>
      <c r="Y36" s="193"/>
    </row>
    <row r="37" spans="3:25" ht="12.75" customHeight="1" x14ac:dyDescent="0.2">
      <c r="F37" s="10" t="s">
        <v>190</v>
      </c>
      <c r="I37" s="194" t="s">
        <v>192</v>
      </c>
      <c r="J37" s="194"/>
      <c r="K37" s="194"/>
      <c r="L37" s="194"/>
      <c r="T37" s="194" t="s">
        <v>192</v>
      </c>
      <c r="U37" s="194"/>
    </row>
    <row r="38" spans="3:25" ht="12.75" customHeight="1" x14ac:dyDescent="0.2">
      <c r="I38" s="447" t="str">
        <f t="array" aca="1" ref="I38:I40" ca="1">OFFSET(Import.RespOrçamento,0,-1) &amp; " " &amp; Import.RespOrçamento</f>
        <v>Nome: Fernando Cesar Nubias Pereira</v>
      </c>
      <c r="K38" s="80"/>
      <c r="L38" s="80"/>
      <c r="T38" s="447" t="str">
        <f t="array" aca="1" ref="T38:T40" ca="1">OFFSET(Import.RespOrçamento,0,-1) &amp; " " &amp; Import.RespOrçamento</f>
        <v>Nome: Fernando Cesar Nubias Pereira</v>
      </c>
      <c r="U38" s="79"/>
    </row>
    <row r="39" spans="3:25" ht="12.75" customHeight="1" x14ac:dyDescent="0.2">
      <c r="F39" s="552">
        <f ca="1">DADOS!$F$25</f>
        <v>45545</v>
      </c>
      <c r="I39" s="447" t="str">
        <f ca="1"/>
        <v>CREA/CAU: RS A - 228673-4</v>
      </c>
      <c r="K39" s="80"/>
      <c r="L39" s="80"/>
      <c r="T39" s="447" t="str">
        <f ca="1"/>
        <v>CREA/CAU: RS A - 228673-4</v>
      </c>
      <c r="U39" s="79"/>
    </row>
    <row r="40" spans="3:25" ht="12.75" customHeight="1" x14ac:dyDescent="0.2">
      <c r="F40" s="146" t="s">
        <v>191</v>
      </c>
      <c r="I40" s="447" t="str">
        <f ca="1"/>
        <v>ART/RRT: 13882809</v>
      </c>
      <c r="K40" s="80"/>
      <c r="L40" s="80"/>
      <c r="T40" s="447" t="str">
        <f ca="1"/>
        <v>ART/RRT: 13882809</v>
      </c>
      <c r="U40" s="79"/>
    </row>
    <row r="41" spans="3:25" ht="12.75" customHeight="1" x14ac:dyDescent="0.2">
      <c r="C41"/>
      <c r="M41"/>
    </row>
    <row r="42" spans="3:25" ht="12.75" customHeight="1" x14ac:dyDescent="0.2">
      <c r="C42"/>
      <c r="M42"/>
    </row>
    <row r="43" spans="3:25" ht="12.75" customHeight="1" x14ac:dyDescent="0.2">
      <c r="C43"/>
      <c r="M43"/>
    </row>
    <row r="44" spans="3:25" ht="12.75" customHeight="1" x14ac:dyDescent="0.2">
      <c r="C44"/>
      <c r="M44"/>
    </row>
    <row r="45" spans="3:25" ht="12.75" customHeight="1" x14ac:dyDescent="0.2">
      <c r="C45"/>
      <c r="M45"/>
    </row>
    <row r="46" spans="3:25" ht="12.75" customHeight="1" x14ac:dyDescent="0.2">
      <c r="C46"/>
      <c r="M46"/>
    </row>
    <row r="47" spans="3:25" ht="12.75" customHeight="1" x14ac:dyDescent="0.2">
      <c r="C47"/>
      <c r="M47"/>
    </row>
    <row r="48" spans="3:25" ht="12.75" customHeight="1" x14ac:dyDescent="0.2">
      <c r="C48"/>
      <c r="M48"/>
    </row>
    <row r="49" spans="3:13" ht="12.75" customHeight="1" x14ac:dyDescent="0.2">
      <c r="C49"/>
      <c r="M49"/>
    </row>
    <row r="50" spans="3:13" ht="12.75" customHeight="1" x14ac:dyDescent="0.2">
      <c r="C50"/>
      <c r="M50"/>
    </row>
    <row r="51" spans="3:13" ht="12.75" customHeight="1" x14ac:dyDescent="0.2">
      <c r="C51"/>
      <c r="M51"/>
    </row>
    <row r="52" spans="3:13" ht="12.75" customHeight="1" x14ac:dyDescent="0.2">
      <c r="C52"/>
      <c r="M52"/>
    </row>
    <row r="53" spans="3:13" ht="12.75" customHeight="1" x14ac:dyDescent="0.2">
      <c r="C53"/>
      <c r="M53"/>
    </row>
    <row r="54" spans="3:13" ht="12.75" customHeight="1" x14ac:dyDescent="0.2">
      <c r="C54"/>
      <c r="M54"/>
    </row>
    <row r="55" spans="3:13" ht="12.75" customHeight="1" x14ac:dyDescent="0.2">
      <c r="C55"/>
      <c r="M55"/>
    </row>
    <row r="56" spans="3:13" ht="12.75" customHeight="1" x14ac:dyDescent="0.2">
      <c r="C56"/>
      <c r="M56"/>
    </row>
    <row r="57" spans="3:13" ht="12.75" customHeight="1" x14ac:dyDescent="0.2">
      <c r="C57"/>
      <c r="M57"/>
    </row>
    <row r="58" spans="3:13" ht="12.75" customHeight="1" x14ac:dyDescent="0.2">
      <c r="C58"/>
      <c r="M58"/>
    </row>
    <row r="59" spans="3:13" ht="12.75" customHeight="1" x14ac:dyDescent="0.2">
      <c r="C59"/>
      <c r="M59"/>
    </row>
    <row r="60" spans="3:13" ht="12.75" customHeight="1" x14ac:dyDescent="0.2">
      <c r="C60"/>
      <c r="M60"/>
    </row>
    <row r="61" spans="3:13" ht="12.75" customHeight="1" x14ac:dyDescent="0.2">
      <c r="C61"/>
      <c r="M61"/>
    </row>
    <row r="62" spans="3:13" ht="12.75" customHeight="1" x14ac:dyDescent="0.2">
      <c r="C62"/>
      <c r="M62"/>
    </row>
    <row r="63" spans="3:13" ht="12.75" customHeight="1" x14ac:dyDescent="0.2">
      <c r="C63"/>
      <c r="M63"/>
    </row>
    <row r="64" spans="3:13" ht="12.75" customHeight="1" x14ac:dyDescent="0.2">
      <c r="C64"/>
      <c r="M64"/>
    </row>
    <row r="65" spans="3:13" ht="12.75" customHeight="1" x14ac:dyDescent="0.2">
      <c r="C65"/>
      <c r="M65"/>
    </row>
    <row r="66" spans="3:13" ht="12.75" customHeight="1" x14ac:dyDescent="0.2">
      <c r="C66"/>
      <c r="M66"/>
    </row>
    <row r="67" spans="3:13" ht="12.75" customHeight="1" x14ac:dyDescent="0.2">
      <c r="C67"/>
      <c r="M67"/>
    </row>
    <row r="68" spans="3:13" ht="12.75" customHeight="1" x14ac:dyDescent="0.2">
      <c r="C68"/>
      <c r="M68"/>
    </row>
    <row r="69" spans="3:13" ht="12.75" customHeight="1" x14ac:dyDescent="0.2">
      <c r="C69"/>
      <c r="M69"/>
    </row>
    <row r="70" spans="3:13" ht="12.75" customHeight="1" x14ac:dyDescent="0.2">
      <c r="C70"/>
      <c r="M70"/>
    </row>
    <row r="71" spans="3:13" ht="12.75" customHeight="1" x14ac:dyDescent="0.2">
      <c r="C71"/>
      <c r="M71"/>
    </row>
    <row r="72" spans="3:13" ht="12.75" customHeight="1" x14ac:dyDescent="0.2">
      <c r="C72"/>
      <c r="M72"/>
    </row>
    <row r="73" spans="3:13" ht="12.75" customHeight="1" x14ac:dyDescent="0.2">
      <c r="C73"/>
      <c r="M73"/>
    </row>
    <row r="74" spans="3:13" ht="12.75" customHeight="1" x14ac:dyDescent="0.2">
      <c r="C74"/>
      <c r="M74"/>
    </row>
    <row r="75" spans="3:13" ht="12.75" customHeight="1" x14ac:dyDescent="0.2">
      <c r="C75"/>
      <c r="M75"/>
    </row>
    <row r="76" spans="3:13" ht="12.75" customHeight="1" x14ac:dyDescent="0.2">
      <c r="C76"/>
      <c r="M76"/>
    </row>
    <row r="77" spans="3:13" ht="12.75" customHeight="1" x14ac:dyDescent="0.2">
      <c r="C77"/>
      <c r="M77"/>
    </row>
    <row r="78" spans="3:13" ht="12.75" customHeight="1" x14ac:dyDescent="0.2">
      <c r="C78"/>
      <c r="M78"/>
    </row>
    <row r="79" spans="3:13" ht="12.75" customHeight="1" x14ac:dyDescent="0.2">
      <c r="C79"/>
      <c r="M79"/>
    </row>
    <row r="80" spans="3:13" ht="12.75" customHeight="1" x14ac:dyDescent="0.2">
      <c r="C80"/>
      <c r="M80"/>
    </row>
    <row r="81" spans="3:13" ht="12.75" customHeight="1" x14ac:dyDescent="0.2">
      <c r="C81"/>
      <c r="M81"/>
    </row>
    <row r="82" spans="3:13" ht="12.75" customHeight="1" x14ac:dyDescent="0.2">
      <c r="C82"/>
      <c r="M82"/>
    </row>
    <row r="83" spans="3:13" ht="12.75" customHeight="1" x14ac:dyDescent="0.2">
      <c r="C83"/>
      <c r="M83"/>
    </row>
    <row r="84" spans="3:13" ht="12.75" customHeight="1" x14ac:dyDescent="0.2">
      <c r="C84"/>
      <c r="M84"/>
    </row>
    <row r="85" spans="3:13" ht="12.75" customHeight="1" x14ac:dyDescent="0.2">
      <c r="C85"/>
      <c r="M85"/>
    </row>
    <row r="86" spans="3:13" ht="12.75" customHeight="1" x14ac:dyDescent="0.2">
      <c r="C86"/>
      <c r="M86"/>
    </row>
    <row r="87" spans="3:13" ht="12.75" customHeight="1" x14ac:dyDescent="0.2">
      <c r="C87"/>
      <c r="M87"/>
    </row>
    <row r="88" spans="3:13" ht="12.75" customHeight="1" x14ac:dyDescent="0.2">
      <c r="C88"/>
      <c r="M88"/>
    </row>
    <row r="89" spans="3:13" ht="12.75" customHeight="1" x14ac:dyDescent="0.2">
      <c r="C89"/>
      <c r="M89"/>
    </row>
    <row r="90" spans="3:13" ht="12.75" customHeight="1" x14ac:dyDescent="0.2">
      <c r="C90"/>
      <c r="M90"/>
    </row>
    <row r="91" spans="3:13" ht="12.75" customHeight="1" x14ac:dyDescent="0.2">
      <c r="C91"/>
      <c r="M91"/>
    </row>
    <row r="92" spans="3:13" ht="12.75" customHeight="1" x14ac:dyDescent="0.2">
      <c r="C92"/>
      <c r="M92"/>
    </row>
    <row r="93" spans="3:13" ht="12.75" customHeight="1" x14ac:dyDescent="0.2">
      <c r="C93"/>
      <c r="M93"/>
    </row>
    <row r="94" spans="3:13" ht="12.75" customHeight="1" x14ac:dyDescent="0.2">
      <c r="C94"/>
      <c r="M94"/>
    </row>
    <row r="95" spans="3:13" ht="12.75" customHeight="1" x14ac:dyDescent="0.2">
      <c r="C95"/>
      <c r="M95"/>
    </row>
    <row r="96" spans="3:13" ht="12.75" customHeight="1" x14ac:dyDescent="0.2">
      <c r="C96"/>
      <c r="M96"/>
    </row>
    <row r="97" spans="3:13" ht="12.75" customHeight="1" x14ac:dyDescent="0.2">
      <c r="C97"/>
      <c r="M97"/>
    </row>
    <row r="98" spans="3:13" ht="12.75" customHeight="1" x14ac:dyDescent="0.2">
      <c r="C98"/>
      <c r="M98"/>
    </row>
    <row r="99" spans="3:13" ht="12.75" customHeight="1" x14ac:dyDescent="0.2">
      <c r="C99"/>
      <c r="M99"/>
    </row>
    <row r="100" spans="3:13" ht="12.75" customHeight="1" x14ac:dyDescent="0.2">
      <c r="C100"/>
      <c r="M100"/>
    </row>
    <row r="101" spans="3:13" ht="12.75" customHeight="1" x14ac:dyDescent="0.2">
      <c r="C101"/>
      <c r="M101"/>
    </row>
    <row r="102" spans="3:13" ht="12.75" customHeight="1" x14ac:dyDescent="0.2">
      <c r="C102"/>
      <c r="M102"/>
    </row>
    <row r="103" spans="3:13" ht="12.75" customHeight="1" x14ac:dyDescent="0.2">
      <c r="C103"/>
      <c r="M103"/>
    </row>
    <row r="104" spans="3:13" ht="12.75" customHeight="1" x14ac:dyDescent="0.2">
      <c r="C104"/>
      <c r="M104"/>
    </row>
    <row r="105" spans="3:13" ht="12.75" customHeight="1" x14ac:dyDescent="0.2">
      <c r="C105"/>
      <c r="M105"/>
    </row>
    <row r="106" spans="3:13" ht="12.75" customHeight="1" x14ac:dyDescent="0.2">
      <c r="C106"/>
      <c r="M106"/>
    </row>
    <row r="107" spans="3:13" ht="12.75" customHeight="1" x14ac:dyDescent="0.2">
      <c r="C107"/>
      <c r="M107"/>
    </row>
    <row r="108" spans="3:13" ht="12.75" customHeight="1" x14ac:dyDescent="0.2">
      <c r="C108"/>
      <c r="M108"/>
    </row>
    <row r="109" spans="3:13" ht="12.75" customHeight="1" x14ac:dyDescent="0.2">
      <c r="C109"/>
      <c r="M109"/>
    </row>
    <row r="110" spans="3:13" ht="12.75" customHeight="1" x14ac:dyDescent="0.2">
      <c r="C110"/>
      <c r="M110"/>
    </row>
    <row r="111" spans="3:13" ht="12.75" customHeight="1" x14ac:dyDescent="0.2">
      <c r="C111"/>
      <c r="M111"/>
    </row>
    <row r="112" spans="3:13" ht="12.75" customHeight="1" x14ac:dyDescent="0.2">
      <c r="C112"/>
      <c r="M112"/>
    </row>
    <row r="113" spans="3:13" ht="12.75" customHeight="1" x14ac:dyDescent="0.2">
      <c r="C113"/>
      <c r="M113"/>
    </row>
    <row r="114" spans="3:13" ht="12.75" customHeight="1" x14ac:dyDescent="0.2">
      <c r="C114"/>
      <c r="M114"/>
    </row>
    <row r="115" spans="3:13" ht="12.75" customHeight="1" x14ac:dyDescent="0.2">
      <c r="C115"/>
      <c r="M115"/>
    </row>
    <row r="116" spans="3:13" ht="12.75" customHeight="1" x14ac:dyDescent="0.2">
      <c r="C116"/>
      <c r="M116"/>
    </row>
    <row r="117" spans="3:13" ht="12.75" customHeight="1" x14ac:dyDescent="0.2">
      <c r="C117"/>
      <c r="M117"/>
    </row>
    <row r="118" spans="3:13" ht="12.75" customHeight="1" x14ac:dyDescent="0.2">
      <c r="C118"/>
      <c r="M118"/>
    </row>
    <row r="119" spans="3:13" ht="12.75" customHeight="1" x14ac:dyDescent="0.2">
      <c r="C119"/>
      <c r="M119"/>
    </row>
    <row r="120" spans="3:13" ht="12.75" customHeight="1" x14ac:dyDescent="0.2">
      <c r="C120"/>
      <c r="M120"/>
    </row>
    <row r="121" spans="3:13" ht="12.75" customHeight="1" x14ac:dyDescent="0.2">
      <c r="C121"/>
      <c r="M121"/>
    </row>
    <row r="122" spans="3:13" ht="12.75" customHeight="1" x14ac:dyDescent="0.2">
      <c r="C122"/>
      <c r="M122"/>
    </row>
    <row r="123" spans="3:13" ht="12.75" customHeight="1" x14ac:dyDescent="0.2">
      <c r="C123"/>
      <c r="M123"/>
    </row>
    <row r="124" spans="3:13" ht="12.75" customHeight="1" x14ac:dyDescent="0.2">
      <c r="C124"/>
      <c r="M124"/>
    </row>
    <row r="125" spans="3:13" ht="12.75" customHeight="1" x14ac:dyDescent="0.2">
      <c r="C125"/>
      <c r="M125"/>
    </row>
    <row r="126" spans="3:13" ht="12.75" customHeight="1" x14ac:dyDescent="0.2">
      <c r="C126"/>
      <c r="M126"/>
    </row>
    <row r="127" spans="3:13" ht="12.75" customHeight="1" x14ac:dyDescent="0.2">
      <c r="C127"/>
      <c r="M127"/>
    </row>
    <row r="128" spans="3:13" ht="12.75" customHeight="1" x14ac:dyDescent="0.2">
      <c r="C128"/>
      <c r="M128"/>
    </row>
    <row r="129" spans="3:13" ht="12.75" customHeight="1" x14ac:dyDescent="0.2">
      <c r="C129"/>
      <c r="M129"/>
    </row>
    <row r="130" spans="3:13" ht="12.75" customHeight="1" x14ac:dyDescent="0.2">
      <c r="C130"/>
      <c r="M130"/>
    </row>
    <row r="131" spans="3:13" ht="12.75" customHeight="1" x14ac:dyDescent="0.2">
      <c r="C131"/>
      <c r="M131"/>
    </row>
    <row r="132" spans="3:13" ht="12.75" customHeight="1" x14ac:dyDescent="0.2">
      <c r="C132"/>
      <c r="M132"/>
    </row>
    <row r="133" spans="3:13" ht="12.75" customHeight="1" x14ac:dyDescent="0.2">
      <c r="C133"/>
      <c r="M133"/>
    </row>
    <row r="134" spans="3:13" ht="12.75" customHeight="1" x14ac:dyDescent="0.2">
      <c r="C134"/>
      <c r="M134"/>
    </row>
    <row r="135" spans="3:13" ht="12.75" customHeight="1" x14ac:dyDescent="0.2">
      <c r="C135"/>
      <c r="M135"/>
    </row>
    <row r="136" spans="3:13" ht="12.75" customHeight="1" x14ac:dyDescent="0.2">
      <c r="C136"/>
      <c r="M136"/>
    </row>
    <row r="137" spans="3:13" ht="12.75" customHeight="1" x14ac:dyDescent="0.2">
      <c r="C137"/>
      <c r="M137"/>
    </row>
    <row r="138" spans="3:13" ht="12.75" customHeight="1" x14ac:dyDescent="0.2">
      <c r="C138"/>
      <c r="M138"/>
    </row>
    <row r="139" spans="3:13" ht="12.75" customHeight="1" x14ac:dyDescent="0.2">
      <c r="C139"/>
      <c r="M139"/>
    </row>
    <row r="140" spans="3:13" ht="12.75" customHeight="1" x14ac:dyDescent="0.2">
      <c r="C140"/>
      <c r="M140"/>
    </row>
    <row r="141" spans="3:13" ht="12.75" customHeight="1" x14ac:dyDescent="0.2">
      <c r="C141"/>
      <c r="M141"/>
    </row>
    <row r="142" spans="3:13" ht="12.75" customHeight="1" x14ac:dyDescent="0.2">
      <c r="C142"/>
      <c r="M142"/>
    </row>
    <row r="143" spans="3:13" ht="12.75" customHeight="1" x14ac:dyDescent="0.2">
      <c r="C143"/>
      <c r="M143"/>
    </row>
    <row r="144" spans="3:13" ht="12.75" customHeight="1" x14ac:dyDescent="0.2">
      <c r="C144"/>
      <c r="M144"/>
    </row>
    <row r="145" spans="3:13" ht="12.75" customHeight="1" x14ac:dyDescent="0.2">
      <c r="C145"/>
      <c r="M145"/>
    </row>
    <row r="146" spans="3:13" ht="12.75" customHeight="1" x14ac:dyDescent="0.2">
      <c r="C146"/>
      <c r="M146"/>
    </row>
    <row r="147" spans="3:13" ht="12.75" customHeight="1" x14ac:dyDescent="0.2">
      <c r="C147"/>
      <c r="M147"/>
    </row>
    <row r="148" spans="3:13" ht="12.75" customHeight="1" x14ac:dyDescent="0.2">
      <c r="C148"/>
      <c r="M148"/>
    </row>
    <row r="149" spans="3:13" ht="12.75" customHeight="1" x14ac:dyDescent="0.2">
      <c r="C149"/>
      <c r="M149"/>
    </row>
    <row r="150" spans="3:13" ht="12.75" customHeight="1" x14ac:dyDescent="0.2">
      <c r="C150"/>
      <c r="M150"/>
    </row>
    <row r="151" spans="3:13" ht="12.75" customHeight="1" x14ac:dyDescent="0.2">
      <c r="C151"/>
      <c r="M151"/>
    </row>
    <row r="152" spans="3:13" ht="12.75" customHeight="1" x14ac:dyDescent="0.2">
      <c r="C152"/>
      <c r="M152"/>
    </row>
    <row r="153" spans="3:13" ht="12.75" customHeight="1" x14ac:dyDescent="0.2">
      <c r="C153"/>
      <c r="M153"/>
    </row>
    <row r="154" spans="3:13" ht="12.75" customHeight="1" x14ac:dyDescent="0.2">
      <c r="C154"/>
      <c r="M154"/>
    </row>
    <row r="155" spans="3:13" ht="12.75" customHeight="1" x14ac:dyDescent="0.2">
      <c r="C155"/>
      <c r="M155"/>
    </row>
    <row r="156" spans="3:13" ht="12.75" customHeight="1" x14ac:dyDescent="0.2">
      <c r="C156"/>
      <c r="M156"/>
    </row>
    <row r="157" spans="3:13" ht="12.75" customHeight="1" x14ac:dyDescent="0.2">
      <c r="C157"/>
      <c r="M157"/>
    </row>
    <row r="158" spans="3:13" ht="12.75" customHeight="1" x14ac:dyDescent="0.2">
      <c r="C158"/>
      <c r="M158"/>
    </row>
    <row r="159" spans="3:13" ht="12.75" customHeight="1" x14ac:dyDescent="0.2">
      <c r="C159"/>
      <c r="M159"/>
    </row>
    <row r="160" spans="3:13" ht="12.75" customHeight="1" x14ac:dyDescent="0.2">
      <c r="C160"/>
      <c r="M160"/>
    </row>
    <row r="161" spans="3:13" ht="12.75" customHeight="1" x14ac:dyDescent="0.2">
      <c r="C161"/>
      <c r="M161"/>
    </row>
    <row r="162" spans="3:13" ht="12.75" customHeight="1" x14ac:dyDescent="0.2">
      <c r="C162"/>
      <c r="M162"/>
    </row>
    <row r="163" spans="3:13" ht="12.75" customHeight="1" x14ac:dyDescent="0.2">
      <c r="C163"/>
      <c r="M163"/>
    </row>
    <row r="164" spans="3:13" ht="12.75" customHeight="1" x14ac:dyDescent="0.2">
      <c r="C164"/>
      <c r="M164"/>
    </row>
    <row r="165" spans="3:13" ht="12.75" customHeight="1" x14ac:dyDescent="0.2">
      <c r="C165"/>
      <c r="M165"/>
    </row>
    <row r="166" spans="3:13" ht="12.75" customHeight="1" x14ac:dyDescent="0.2">
      <c r="C166"/>
      <c r="M166"/>
    </row>
    <row r="167" spans="3:13" ht="12.75" customHeight="1" x14ac:dyDescent="0.2">
      <c r="C167"/>
      <c r="M167"/>
    </row>
    <row r="168" spans="3:13" ht="12.75" customHeight="1" x14ac:dyDescent="0.2">
      <c r="C168"/>
      <c r="M168"/>
    </row>
    <row r="169" spans="3:13" ht="12.75" customHeight="1" x14ac:dyDescent="0.2">
      <c r="C169"/>
      <c r="M169"/>
    </row>
    <row r="170" spans="3:13" ht="12.75" customHeight="1" x14ac:dyDescent="0.2">
      <c r="C170"/>
      <c r="M170"/>
    </row>
    <row r="171" spans="3:13" ht="12.75" customHeight="1" x14ac:dyDescent="0.2">
      <c r="C171"/>
      <c r="M171"/>
    </row>
    <row r="172" spans="3:13" ht="12.75" customHeight="1" x14ac:dyDescent="0.2">
      <c r="C172"/>
      <c r="M172"/>
    </row>
    <row r="173" spans="3:13" ht="12.75" customHeight="1" x14ac:dyDescent="0.2">
      <c r="C173"/>
      <c r="M173"/>
    </row>
    <row r="174" spans="3:13" ht="12.75" customHeight="1" x14ac:dyDescent="0.2">
      <c r="C174"/>
      <c r="M174"/>
    </row>
    <row r="175" spans="3:13" ht="12.75" customHeight="1" x14ac:dyDescent="0.2">
      <c r="C175"/>
      <c r="M175"/>
    </row>
    <row r="176" spans="3:13" ht="12.75" customHeight="1" x14ac:dyDescent="0.2">
      <c r="C176"/>
      <c r="M176"/>
    </row>
    <row r="177" spans="3:13" ht="12.75" customHeight="1" x14ac:dyDescent="0.2">
      <c r="C177"/>
      <c r="M177"/>
    </row>
    <row r="178" spans="3:13" ht="12.75" customHeight="1" x14ac:dyDescent="0.2">
      <c r="C178"/>
      <c r="M178"/>
    </row>
    <row r="179" spans="3:13" ht="12.75" customHeight="1" x14ac:dyDescent="0.2">
      <c r="C179"/>
      <c r="M179"/>
    </row>
    <row r="180" spans="3:13" ht="12.75" customHeight="1" x14ac:dyDescent="0.2">
      <c r="C180"/>
      <c r="M180"/>
    </row>
    <row r="181" spans="3:13" ht="12.75" customHeight="1" x14ac:dyDescent="0.2">
      <c r="C181"/>
      <c r="M181"/>
    </row>
    <row r="182" spans="3:13" ht="12.75" customHeight="1" x14ac:dyDescent="0.2">
      <c r="C182"/>
      <c r="M182"/>
    </row>
    <row r="183" spans="3:13" ht="12.75" customHeight="1" x14ac:dyDescent="0.2">
      <c r="C183"/>
      <c r="M183"/>
    </row>
    <row r="184" spans="3:13" ht="12.75" customHeight="1" x14ac:dyDescent="0.2">
      <c r="C184"/>
      <c r="M184"/>
    </row>
    <row r="185" spans="3:13" ht="12.75" customHeight="1" x14ac:dyDescent="0.2">
      <c r="C185"/>
      <c r="M185"/>
    </row>
    <row r="186" spans="3:13" ht="12.75" customHeight="1" x14ac:dyDescent="0.2">
      <c r="C186"/>
      <c r="M186"/>
    </row>
    <row r="187" spans="3:13" ht="12.75" customHeight="1" x14ac:dyDescent="0.2">
      <c r="C187"/>
      <c r="M187"/>
    </row>
    <row r="188" spans="3:13" ht="12.75" customHeight="1" x14ac:dyDescent="0.2">
      <c r="C188"/>
      <c r="M188"/>
    </row>
    <row r="189" spans="3:13" ht="12.75" customHeight="1" x14ac:dyDescent="0.2">
      <c r="C189"/>
      <c r="M189"/>
    </row>
    <row r="190" spans="3:13" ht="12.75" customHeight="1" x14ac:dyDescent="0.2">
      <c r="C190"/>
      <c r="M190"/>
    </row>
    <row r="191" spans="3:13" ht="12.75" customHeight="1" x14ac:dyDescent="0.2">
      <c r="C191"/>
      <c r="M191"/>
    </row>
    <row r="192" spans="3:13" ht="12.75" customHeight="1" x14ac:dyDescent="0.2">
      <c r="C192"/>
      <c r="M192"/>
    </row>
    <row r="193" spans="3:13" ht="12.75" customHeight="1" x14ac:dyDescent="0.2">
      <c r="C193"/>
      <c r="M193"/>
    </row>
    <row r="194" spans="3:13" ht="12.75" customHeight="1" x14ac:dyDescent="0.2">
      <c r="C194"/>
      <c r="M194"/>
    </row>
    <row r="195" spans="3:13" ht="12.75" customHeight="1" x14ac:dyDescent="0.2">
      <c r="C195"/>
      <c r="M195"/>
    </row>
    <row r="196" spans="3:13" ht="12.75" customHeight="1" x14ac:dyDescent="0.2">
      <c r="C196"/>
      <c r="M196"/>
    </row>
    <row r="197" spans="3:13" ht="12.75" customHeight="1" x14ac:dyDescent="0.2">
      <c r="C197"/>
      <c r="M197"/>
    </row>
    <row r="198" spans="3:13" ht="12.75" customHeight="1" x14ac:dyDescent="0.2">
      <c r="C198"/>
      <c r="M198"/>
    </row>
    <row r="199" spans="3:13" ht="12.75" customHeight="1" x14ac:dyDescent="0.2">
      <c r="C199"/>
      <c r="M199"/>
    </row>
    <row r="200" spans="3:13" ht="12.75" customHeight="1" x14ac:dyDescent="0.2">
      <c r="C200"/>
      <c r="M200"/>
    </row>
    <row r="201" spans="3:13" ht="12.75" customHeight="1" x14ac:dyDescent="0.2">
      <c r="C201"/>
      <c r="M201"/>
    </row>
    <row r="202" spans="3:13" ht="12.75" customHeight="1" x14ac:dyDescent="0.2">
      <c r="C202"/>
      <c r="M202"/>
    </row>
    <row r="203" spans="3:13" ht="12.75" customHeight="1" x14ac:dyDescent="0.2">
      <c r="C203"/>
      <c r="M203"/>
    </row>
    <row r="204" spans="3:13" ht="12.75" customHeight="1" x14ac:dyDescent="0.2">
      <c r="C204"/>
      <c r="M204"/>
    </row>
    <row r="205" spans="3:13" ht="12.75" customHeight="1" x14ac:dyDescent="0.2">
      <c r="C205"/>
      <c r="M205"/>
    </row>
    <row r="206" spans="3:13" ht="12.75" customHeight="1" x14ac:dyDescent="0.2">
      <c r="C206"/>
      <c r="M206"/>
    </row>
    <row r="207" spans="3:13" ht="12.75" customHeight="1" x14ac:dyDescent="0.2">
      <c r="C207"/>
      <c r="M207"/>
    </row>
    <row r="208" spans="3:13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60944" spans="3:13" ht="12.75" customHeight="1" x14ac:dyDescent="0.2">
      <c r="C60944"/>
      <c r="M60944"/>
    </row>
    <row r="60960" spans="3:13" ht="12.75" customHeight="1" x14ac:dyDescent="0.2">
      <c r="C60960"/>
      <c r="M60960"/>
    </row>
    <row r="60976" spans="3:13" ht="12.75" customHeight="1" x14ac:dyDescent="0.2">
      <c r="C60976"/>
      <c r="M60976"/>
    </row>
    <row r="60992" spans="3:13" ht="12.75" customHeight="1" x14ac:dyDescent="0.2">
      <c r="C60992"/>
      <c r="M60992"/>
    </row>
    <row r="61005" spans="3:13" ht="12.75" customHeight="1" x14ac:dyDescent="0.2">
      <c r="C61005"/>
      <c r="M61005"/>
    </row>
    <row r="61006" spans="3:13" ht="12.75" customHeight="1" x14ac:dyDescent="0.2">
      <c r="C61006"/>
      <c r="M61006"/>
    </row>
    <row r="61008" spans="3:13" ht="12.75" customHeight="1" x14ac:dyDescent="0.2">
      <c r="C61008"/>
      <c r="M61008"/>
    </row>
    <row r="61019" spans="3:13" ht="12.75" customHeight="1" x14ac:dyDescent="0.2">
      <c r="C61019"/>
      <c r="M61019"/>
    </row>
    <row r="61020" spans="3:13" ht="12.75" customHeight="1" x14ac:dyDescent="0.2">
      <c r="C61020"/>
      <c r="M61020"/>
    </row>
    <row r="61021" spans="3:13" ht="12.75" customHeight="1" x14ac:dyDescent="0.2">
      <c r="C61021"/>
      <c r="M61021"/>
    </row>
    <row r="61022" spans="3:13" ht="12.75" customHeight="1" x14ac:dyDescent="0.2">
      <c r="C61022"/>
      <c r="M61022"/>
    </row>
    <row r="61024" spans="3:13" ht="12.75" customHeight="1" x14ac:dyDescent="0.2">
      <c r="C61024"/>
      <c r="M61024"/>
    </row>
    <row r="61035" spans="3:13" ht="12.75" customHeight="1" x14ac:dyDescent="0.2">
      <c r="C61035"/>
      <c r="M61035"/>
    </row>
    <row r="61036" spans="3:13" ht="12.75" customHeight="1" x14ac:dyDescent="0.2">
      <c r="C61036"/>
      <c r="M61036"/>
    </row>
    <row r="61037" spans="3:13" ht="12.75" customHeight="1" x14ac:dyDescent="0.2">
      <c r="C61037"/>
      <c r="M61037"/>
    </row>
    <row r="61038" spans="3:13" ht="12.75" customHeight="1" x14ac:dyDescent="0.2">
      <c r="C61038"/>
      <c r="M61038"/>
    </row>
    <row r="61040" spans="3:13" ht="12.75" customHeight="1" x14ac:dyDescent="0.2">
      <c r="C61040"/>
      <c r="M61040"/>
    </row>
    <row r="61051" spans="3:13" ht="12.75" customHeight="1" x14ac:dyDescent="0.2">
      <c r="C61051"/>
      <c r="M61051"/>
    </row>
    <row r="61052" spans="3:13" ht="12.75" customHeight="1" x14ac:dyDescent="0.2">
      <c r="C61052"/>
      <c r="M61052"/>
    </row>
    <row r="61053" spans="3:13" ht="12.75" customHeight="1" x14ac:dyDescent="0.2">
      <c r="C61053"/>
      <c r="M61053"/>
    </row>
    <row r="61054" spans="3:13" ht="12.75" customHeight="1" x14ac:dyDescent="0.2">
      <c r="C61054"/>
      <c r="M61054"/>
    </row>
    <row r="61056" spans="3:13" ht="12.75" customHeight="1" x14ac:dyDescent="0.2">
      <c r="C61056"/>
      <c r="M61056"/>
    </row>
    <row r="61067" spans="3:13" ht="12.75" customHeight="1" x14ac:dyDescent="0.2">
      <c r="C61067"/>
      <c r="M61067"/>
    </row>
    <row r="61068" spans="3:13" ht="12.75" customHeight="1" x14ac:dyDescent="0.2">
      <c r="C61068"/>
      <c r="M61068"/>
    </row>
    <row r="61069" spans="3:13" ht="12.75" customHeight="1" x14ac:dyDescent="0.2">
      <c r="C61069"/>
      <c r="M61069"/>
    </row>
    <row r="61070" spans="3:13" ht="12.75" customHeight="1" x14ac:dyDescent="0.2">
      <c r="C61070"/>
      <c r="M61070"/>
    </row>
    <row r="61072" spans="3:13" ht="12.75" customHeight="1" x14ac:dyDescent="0.2">
      <c r="C61072"/>
      <c r="M61072"/>
    </row>
    <row r="61083" spans="3:13" ht="12.75" customHeight="1" x14ac:dyDescent="0.2">
      <c r="C61083"/>
      <c r="M61083"/>
    </row>
    <row r="61084" spans="3:13" ht="12.75" customHeight="1" x14ac:dyDescent="0.2">
      <c r="C61084"/>
      <c r="M61084"/>
    </row>
    <row r="61085" spans="3:13" ht="12.75" customHeight="1" x14ac:dyDescent="0.2">
      <c r="C61085"/>
      <c r="M61085"/>
    </row>
    <row r="61086" spans="3:13" ht="12.75" customHeight="1" x14ac:dyDescent="0.2">
      <c r="C61086"/>
      <c r="M61086"/>
    </row>
    <row r="61088" spans="3:13" ht="12.75" customHeight="1" x14ac:dyDescent="0.2">
      <c r="C61088"/>
      <c r="M61088"/>
    </row>
    <row r="61099" spans="3:13" ht="12.75" customHeight="1" x14ac:dyDescent="0.2">
      <c r="C61099"/>
      <c r="M61099"/>
    </row>
    <row r="61100" spans="3:13" ht="12.75" customHeight="1" x14ac:dyDescent="0.2">
      <c r="C61100"/>
      <c r="M61100"/>
    </row>
    <row r="61101" spans="3:13" ht="12.75" customHeight="1" x14ac:dyDescent="0.2">
      <c r="C61101"/>
      <c r="M61101"/>
    </row>
    <row r="61102" spans="3:13" ht="12.75" customHeight="1" x14ac:dyDescent="0.2">
      <c r="C61102"/>
      <c r="M61102"/>
    </row>
    <row r="61104" spans="3:13" ht="12.75" customHeight="1" x14ac:dyDescent="0.2">
      <c r="C61104"/>
      <c r="M61104"/>
    </row>
    <row r="61115" spans="3:13" ht="12.75" customHeight="1" x14ac:dyDescent="0.2">
      <c r="C61115"/>
      <c r="M61115"/>
    </row>
    <row r="61116" spans="3:13" ht="12.75" customHeight="1" x14ac:dyDescent="0.2">
      <c r="C61116"/>
      <c r="M61116"/>
    </row>
    <row r="61117" spans="3:13" ht="12.75" customHeight="1" x14ac:dyDescent="0.2">
      <c r="C61117"/>
      <c r="M61117"/>
    </row>
    <row r="61118" spans="3:13" ht="12.75" customHeight="1" x14ac:dyDescent="0.2">
      <c r="C61118"/>
      <c r="M61118"/>
    </row>
    <row r="61120" spans="3:13" ht="12.75" customHeight="1" x14ac:dyDescent="0.2">
      <c r="C61120"/>
      <c r="M61120"/>
    </row>
    <row r="61131" spans="3:13" ht="12.75" customHeight="1" x14ac:dyDescent="0.2">
      <c r="C61131"/>
      <c r="M61131"/>
    </row>
    <row r="61132" spans="3:13" ht="12.75" customHeight="1" x14ac:dyDescent="0.2">
      <c r="C61132"/>
      <c r="M61132"/>
    </row>
    <row r="61133" spans="3:13" ht="12.75" customHeight="1" x14ac:dyDescent="0.2">
      <c r="C61133"/>
      <c r="M61133"/>
    </row>
    <row r="61134" spans="3:13" ht="12.75" customHeight="1" x14ac:dyDescent="0.2">
      <c r="C61134"/>
      <c r="M61134"/>
    </row>
    <row r="61136" spans="3:13" ht="12.75" customHeight="1" x14ac:dyDescent="0.2">
      <c r="C61136"/>
      <c r="M61136"/>
    </row>
    <row r="61144" spans="3:13" ht="12.75" customHeight="1" x14ac:dyDescent="0.2">
      <c r="C61144"/>
      <c r="M61144"/>
    </row>
    <row r="61147" spans="3:13" ht="12.75" customHeight="1" x14ac:dyDescent="0.2">
      <c r="C61147"/>
      <c r="M61147"/>
    </row>
    <row r="61148" spans="3:13" ht="12.75" customHeight="1" x14ac:dyDescent="0.2">
      <c r="C61148"/>
      <c r="M61148"/>
    </row>
    <row r="61149" spans="3:13" ht="12.75" customHeight="1" x14ac:dyDescent="0.2">
      <c r="C61149"/>
      <c r="M61149"/>
    </row>
    <row r="61150" spans="3:13" ht="12.75" customHeight="1" x14ac:dyDescent="0.2">
      <c r="C61150"/>
      <c r="M61150"/>
    </row>
    <row r="61152" spans="3:13" ht="12.75" customHeight="1" x14ac:dyDescent="0.2">
      <c r="C61152"/>
      <c r="M61152"/>
    </row>
    <row r="61160" spans="3:13" ht="12.75" customHeight="1" x14ac:dyDescent="0.2">
      <c r="C61160"/>
      <c r="M61160"/>
    </row>
    <row r="61163" spans="3:13" ht="12.75" customHeight="1" x14ac:dyDescent="0.2">
      <c r="C61163"/>
      <c r="M61163"/>
    </row>
    <row r="61164" spans="3:13" ht="12.75" customHeight="1" x14ac:dyDescent="0.2">
      <c r="C61164"/>
      <c r="M61164"/>
    </row>
    <row r="61165" spans="3:13" ht="12.75" customHeight="1" x14ac:dyDescent="0.2">
      <c r="C61165"/>
      <c r="M61165"/>
    </row>
    <row r="61166" spans="3:13" ht="12.75" customHeight="1" x14ac:dyDescent="0.2">
      <c r="C61166"/>
      <c r="M61166"/>
    </row>
    <row r="61168" spans="3:13" ht="12.75" customHeight="1" x14ac:dyDescent="0.2">
      <c r="C61168"/>
      <c r="M61168"/>
    </row>
    <row r="61176" spans="3:13" ht="12.75" customHeight="1" x14ac:dyDescent="0.2">
      <c r="C61176"/>
      <c r="M61176"/>
    </row>
    <row r="61177" spans="3:13" ht="12.75" customHeight="1" x14ac:dyDescent="0.2">
      <c r="C61177"/>
      <c r="M61177"/>
    </row>
    <row r="61179" spans="3:13" ht="12.75" customHeight="1" x14ac:dyDescent="0.2">
      <c r="C61179"/>
      <c r="M61179"/>
    </row>
    <row r="61180" spans="3:13" ht="12.75" customHeight="1" x14ac:dyDescent="0.2">
      <c r="C61180"/>
      <c r="M61180"/>
    </row>
    <row r="61181" spans="3:13" ht="12.75" customHeight="1" x14ac:dyDescent="0.2">
      <c r="C61181"/>
      <c r="M61181"/>
    </row>
    <row r="61182" spans="3:13" ht="12.75" customHeight="1" x14ac:dyDescent="0.2">
      <c r="C61182"/>
      <c r="M61182"/>
    </row>
    <row r="61184" spans="3:13" ht="12.75" customHeight="1" x14ac:dyDescent="0.2">
      <c r="C61184"/>
      <c r="M61184"/>
    </row>
    <row r="61192" spans="3:13" ht="12.75" customHeight="1" x14ac:dyDescent="0.2">
      <c r="C61192"/>
      <c r="M61192"/>
    </row>
    <row r="61193" spans="3:13" ht="12.75" customHeight="1" x14ac:dyDescent="0.2">
      <c r="C61193"/>
      <c r="M61193"/>
    </row>
    <row r="61194" spans="3:13" ht="12.75" customHeight="1" x14ac:dyDescent="0.2">
      <c r="C61194"/>
      <c r="M61194"/>
    </row>
    <row r="61195" spans="3:13" ht="12.75" customHeight="1" x14ac:dyDescent="0.2">
      <c r="C61195"/>
      <c r="M61195"/>
    </row>
    <row r="61196" spans="3:13" ht="12.75" customHeight="1" x14ac:dyDescent="0.2">
      <c r="C61196"/>
      <c r="M61196"/>
    </row>
    <row r="61197" spans="3:13" ht="12.75" customHeight="1" x14ac:dyDescent="0.2">
      <c r="C61197"/>
      <c r="M61197"/>
    </row>
    <row r="61198" spans="3:13" ht="12.75" customHeight="1" x14ac:dyDescent="0.2">
      <c r="C61198"/>
      <c r="M61198"/>
    </row>
    <row r="61200" spans="3:13" ht="12.75" customHeight="1" x14ac:dyDescent="0.2">
      <c r="C61200"/>
      <c r="M61200"/>
    </row>
    <row r="61208" spans="3:13" ht="12.75" customHeight="1" x14ac:dyDescent="0.2">
      <c r="C61208"/>
      <c r="M61208"/>
    </row>
    <row r="61209" spans="3:13" ht="12.75" customHeight="1" x14ac:dyDescent="0.2">
      <c r="C61209"/>
      <c r="M61209"/>
    </row>
    <row r="61210" spans="3:13" ht="12.75" customHeight="1" x14ac:dyDescent="0.2">
      <c r="C61210"/>
      <c r="M61210"/>
    </row>
    <row r="61211" spans="3:13" ht="12.75" customHeight="1" x14ac:dyDescent="0.2">
      <c r="C61211"/>
      <c r="M61211"/>
    </row>
    <row r="61212" spans="3:13" ht="12.75" customHeight="1" x14ac:dyDescent="0.2">
      <c r="C61212"/>
      <c r="M61212"/>
    </row>
    <row r="61213" spans="3:13" ht="12.75" customHeight="1" x14ac:dyDescent="0.2">
      <c r="C61213"/>
      <c r="M61213"/>
    </row>
    <row r="61214" spans="3:13" ht="12.75" customHeight="1" x14ac:dyDescent="0.2">
      <c r="C61214"/>
      <c r="M61214"/>
    </row>
    <row r="61216" spans="3:13" ht="12.75" customHeight="1" x14ac:dyDescent="0.2">
      <c r="C61216"/>
      <c r="M61216"/>
    </row>
    <row r="61222" spans="3:13" ht="12.75" customHeight="1" x14ac:dyDescent="0.2">
      <c r="C61222"/>
      <c r="M61222"/>
    </row>
    <row r="61223" spans="3:13" ht="12.75" customHeight="1" x14ac:dyDescent="0.2">
      <c r="C61223"/>
      <c r="M61223"/>
    </row>
    <row r="61224" spans="3:13" ht="12.75" customHeight="1" x14ac:dyDescent="0.2">
      <c r="C61224"/>
      <c r="M61224"/>
    </row>
    <row r="61225" spans="3:13" ht="12.75" customHeight="1" x14ac:dyDescent="0.2">
      <c r="C61225"/>
      <c r="M61225"/>
    </row>
    <row r="61226" spans="3:13" ht="12.75" customHeight="1" x14ac:dyDescent="0.2">
      <c r="C61226"/>
      <c r="M61226"/>
    </row>
    <row r="61227" spans="3:13" ht="12.75" customHeight="1" x14ac:dyDescent="0.2">
      <c r="C61227"/>
      <c r="M61227"/>
    </row>
    <row r="61228" spans="3:13" ht="12.75" customHeight="1" x14ac:dyDescent="0.2">
      <c r="C61228"/>
      <c r="M61228"/>
    </row>
    <row r="61229" spans="3:13" ht="12.75" customHeight="1" x14ac:dyDescent="0.2">
      <c r="C61229"/>
      <c r="M61229"/>
    </row>
    <row r="61230" spans="3:13" ht="12.75" customHeight="1" x14ac:dyDescent="0.2">
      <c r="C61230"/>
      <c r="M61230"/>
    </row>
    <row r="61231" spans="3:13" ht="12.75" customHeight="1" x14ac:dyDescent="0.2">
      <c r="C61231"/>
      <c r="M61231"/>
    </row>
    <row r="61232" spans="3:13" ht="12.75" customHeight="1" x14ac:dyDescent="0.2">
      <c r="C61232"/>
      <c r="M61232"/>
    </row>
    <row r="61233" spans="3:13" ht="12.75" customHeight="1" x14ac:dyDescent="0.2">
      <c r="C61233"/>
      <c r="M61233"/>
    </row>
    <row r="61238" spans="3:13" ht="12.75" customHeight="1" x14ac:dyDescent="0.2">
      <c r="C61238"/>
      <c r="M61238"/>
    </row>
    <row r="61239" spans="3:13" ht="12.75" customHeight="1" x14ac:dyDescent="0.2">
      <c r="C61239"/>
      <c r="M61239"/>
    </row>
    <row r="61240" spans="3:13" ht="12.75" customHeight="1" x14ac:dyDescent="0.2">
      <c r="C61240"/>
      <c r="M61240"/>
    </row>
    <row r="61241" spans="3:13" ht="12.75" customHeight="1" x14ac:dyDescent="0.2">
      <c r="C61241"/>
      <c r="M61241"/>
    </row>
    <row r="61242" spans="3:13" ht="12.75" customHeight="1" x14ac:dyDescent="0.2">
      <c r="C61242"/>
      <c r="M61242"/>
    </row>
    <row r="61243" spans="3:13" ht="12.75" customHeight="1" x14ac:dyDescent="0.2">
      <c r="C61243"/>
      <c r="M61243"/>
    </row>
    <row r="61244" spans="3:13" ht="12.75" customHeight="1" x14ac:dyDescent="0.2">
      <c r="C61244"/>
      <c r="M61244"/>
    </row>
    <row r="61245" spans="3:13" ht="12.75" customHeight="1" x14ac:dyDescent="0.2">
      <c r="C61245"/>
      <c r="M61245"/>
    </row>
    <row r="61246" spans="3:13" ht="12.75" customHeight="1" x14ac:dyDescent="0.2">
      <c r="C61246"/>
      <c r="M61246"/>
    </row>
    <row r="61247" spans="3:13" ht="12.75" customHeight="1" x14ac:dyDescent="0.2">
      <c r="C61247"/>
      <c r="M61247"/>
    </row>
    <row r="61248" spans="3:13" ht="12.75" customHeight="1" x14ac:dyDescent="0.2">
      <c r="C61248"/>
      <c r="M61248"/>
    </row>
    <row r="61249" spans="3:13" ht="12.75" customHeight="1" x14ac:dyDescent="0.2">
      <c r="C61249"/>
      <c r="M61249"/>
    </row>
    <row r="61254" spans="3:13" ht="12.75" customHeight="1" x14ac:dyDescent="0.2">
      <c r="C61254"/>
      <c r="M61254"/>
    </row>
    <row r="61255" spans="3:13" ht="12.75" customHeight="1" x14ac:dyDescent="0.2">
      <c r="C61255"/>
      <c r="M61255"/>
    </row>
    <row r="61256" spans="3:13" ht="12.75" customHeight="1" x14ac:dyDescent="0.2">
      <c r="C61256"/>
      <c r="M61256"/>
    </row>
    <row r="61257" spans="3:13" ht="12.75" customHeight="1" x14ac:dyDescent="0.2">
      <c r="C61257"/>
      <c r="M61257"/>
    </row>
    <row r="61258" spans="3:13" ht="12.75" customHeight="1" x14ac:dyDescent="0.2">
      <c r="C61258"/>
      <c r="M61258"/>
    </row>
    <row r="61259" spans="3:13" ht="12.75" customHeight="1" x14ac:dyDescent="0.2">
      <c r="C61259"/>
      <c r="M61259"/>
    </row>
    <row r="61260" spans="3:13" ht="12.75" customHeight="1" x14ac:dyDescent="0.2">
      <c r="C61260"/>
      <c r="M61260"/>
    </row>
    <row r="61261" spans="3:13" ht="12.75" customHeight="1" x14ac:dyDescent="0.2">
      <c r="C61261"/>
      <c r="M61261"/>
    </row>
    <row r="61262" spans="3:13" ht="12.75" customHeight="1" x14ac:dyDescent="0.2">
      <c r="C61262"/>
      <c r="M61262"/>
    </row>
    <row r="61263" spans="3:13" ht="12.75" customHeight="1" x14ac:dyDescent="0.2">
      <c r="C61263"/>
      <c r="M61263"/>
    </row>
    <row r="61264" spans="3:13" ht="12.75" customHeight="1" x14ac:dyDescent="0.2">
      <c r="C61264"/>
      <c r="M61264"/>
    </row>
    <row r="61265" spans="3:13" ht="12.75" customHeight="1" x14ac:dyDescent="0.2">
      <c r="C61265"/>
      <c r="M61265"/>
    </row>
    <row r="61270" spans="3:13" ht="12.75" customHeight="1" x14ac:dyDescent="0.2">
      <c r="C61270"/>
      <c r="M61270"/>
    </row>
    <row r="61271" spans="3:13" ht="12.75" customHeight="1" x14ac:dyDescent="0.2">
      <c r="C61271"/>
      <c r="M61271"/>
    </row>
    <row r="61272" spans="3:13" ht="12.75" customHeight="1" x14ac:dyDescent="0.2">
      <c r="C61272"/>
      <c r="M61272"/>
    </row>
    <row r="61273" spans="3:13" ht="12.75" customHeight="1" x14ac:dyDescent="0.2">
      <c r="C61273"/>
      <c r="M61273"/>
    </row>
    <row r="61274" spans="3:13" ht="12.75" customHeight="1" x14ac:dyDescent="0.2">
      <c r="C61274"/>
      <c r="M61274"/>
    </row>
    <row r="61275" spans="3:13" ht="12.75" customHeight="1" x14ac:dyDescent="0.2">
      <c r="C61275"/>
      <c r="M61275"/>
    </row>
    <row r="61276" spans="3:13" ht="12.75" customHeight="1" x14ac:dyDescent="0.2">
      <c r="C61276"/>
      <c r="M61276"/>
    </row>
    <row r="61277" spans="3:13" ht="12.75" customHeight="1" x14ac:dyDescent="0.2">
      <c r="C61277"/>
      <c r="M61277"/>
    </row>
    <row r="61278" spans="3:13" ht="12.75" customHeight="1" x14ac:dyDescent="0.2">
      <c r="C61278"/>
      <c r="M61278"/>
    </row>
    <row r="61279" spans="3:13" ht="12.75" customHeight="1" x14ac:dyDescent="0.2">
      <c r="C61279"/>
      <c r="M61279"/>
    </row>
    <row r="61280" spans="3:13" ht="12.75" customHeight="1" x14ac:dyDescent="0.2">
      <c r="C61280"/>
      <c r="M61280"/>
    </row>
    <row r="61281" spans="3:13" ht="12.75" customHeight="1" x14ac:dyDescent="0.2">
      <c r="C61281"/>
      <c r="M61281"/>
    </row>
    <row r="61285" spans="3:13" ht="12.75" customHeight="1" x14ac:dyDescent="0.2">
      <c r="C61285"/>
      <c r="M61285"/>
    </row>
    <row r="61286" spans="3:13" ht="12.75" customHeight="1" x14ac:dyDescent="0.2">
      <c r="C61286"/>
      <c r="M61286"/>
    </row>
    <row r="61287" spans="3:13" ht="12.75" customHeight="1" x14ac:dyDescent="0.2">
      <c r="C61287"/>
      <c r="M61287"/>
    </row>
    <row r="61288" spans="3:13" ht="12.75" customHeight="1" x14ac:dyDescent="0.2">
      <c r="C61288"/>
      <c r="M61288"/>
    </row>
    <row r="61289" spans="3:13" ht="12.75" customHeight="1" x14ac:dyDescent="0.2">
      <c r="C61289"/>
      <c r="M61289"/>
    </row>
    <row r="61290" spans="3:13" ht="12.75" customHeight="1" x14ac:dyDescent="0.2">
      <c r="C61290"/>
      <c r="M61290"/>
    </row>
    <row r="61291" spans="3:13" ht="12.75" customHeight="1" x14ac:dyDescent="0.2">
      <c r="C61291"/>
      <c r="M61291"/>
    </row>
    <row r="61292" spans="3:13" ht="12.75" customHeight="1" x14ac:dyDescent="0.2">
      <c r="C61292"/>
      <c r="M61292"/>
    </row>
    <row r="61293" spans="3:13" ht="12.75" customHeight="1" x14ac:dyDescent="0.2">
      <c r="C61293"/>
      <c r="M61293"/>
    </row>
    <row r="61294" spans="3:13" ht="12.75" customHeight="1" x14ac:dyDescent="0.2">
      <c r="C61294"/>
      <c r="M61294"/>
    </row>
    <row r="61295" spans="3:13" ht="12.75" customHeight="1" x14ac:dyDescent="0.2">
      <c r="C61295"/>
      <c r="M61295"/>
    </row>
    <row r="61296" spans="3:13" ht="12.75" customHeight="1" x14ac:dyDescent="0.2">
      <c r="C61296"/>
      <c r="M61296"/>
    </row>
    <row r="61297" spans="3:13" ht="12.75" customHeight="1" x14ac:dyDescent="0.2">
      <c r="C61297"/>
      <c r="M61297"/>
    </row>
    <row r="61301" spans="3:13" ht="12.75" customHeight="1" x14ac:dyDescent="0.2">
      <c r="C61301"/>
      <c r="M61301"/>
    </row>
    <row r="61302" spans="3:13" ht="12.75" customHeight="1" x14ac:dyDescent="0.2">
      <c r="C61302"/>
      <c r="M61302"/>
    </row>
    <row r="61303" spans="3:13" ht="12.75" customHeight="1" x14ac:dyDescent="0.2">
      <c r="C61303"/>
      <c r="M61303"/>
    </row>
    <row r="61304" spans="3:13" ht="12.75" customHeight="1" x14ac:dyDescent="0.2">
      <c r="C61304"/>
      <c r="M61304"/>
    </row>
    <row r="61305" spans="3:13" ht="12.75" customHeight="1" x14ac:dyDescent="0.2">
      <c r="C61305"/>
      <c r="M61305"/>
    </row>
    <row r="61306" spans="3:13" ht="12.75" customHeight="1" x14ac:dyDescent="0.2">
      <c r="C61306"/>
      <c r="M61306"/>
    </row>
    <row r="61307" spans="3:13" ht="12.75" customHeight="1" x14ac:dyDescent="0.2">
      <c r="C61307"/>
      <c r="M61307"/>
    </row>
    <row r="61308" spans="3:13" ht="12.75" customHeight="1" x14ac:dyDescent="0.2">
      <c r="C61308"/>
      <c r="M61308"/>
    </row>
    <row r="61309" spans="3:13" ht="12.75" customHeight="1" x14ac:dyDescent="0.2">
      <c r="C61309"/>
      <c r="M61309"/>
    </row>
    <row r="61310" spans="3:13" ht="12.75" customHeight="1" x14ac:dyDescent="0.2">
      <c r="C61310"/>
      <c r="M61310"/>
    </row>
    <row r="61311" spans="3:13" ht="12.75" customHeight="1" x14ac:dyDescent="0.2">
      <c r="C61311"/>
      <c r="M61311"/>
    </row>
    <row r="61312" spans="3:13" ht="12.75" customHeight="1" x14ac:dyDescent="0.2">
      <c r="C61312"/>
      <c r="M61312"/>
    </row>
    <row r="61313" spans="3:13" ht="12.75" customHeight="1" x14ac:dyDescent="0.2">
      <c r="C61313"/>
      <c r="M61313"/>
    </row>
    <row r="61317" spans="3:13" ht="12.75" customHeight="1" x14ac:dyDescent="0.2">
      <c r="C61317"/>
      <c r="M61317"/>
    </row>
    <row r="61318" spans="3:13" ht="12.75" customHeight="1" x14ac:dyDescent="0.2">
      <c r="C61318"/>
      <c r="M61318"/>
    </row>
    <row r="61319" spans="3:13" ht="12.75" customHeight="1" x14ac:dyDescent="0.2">
      <c r="C61319"/>
      <c r="M61319"/>
    </row>
    <row r="61320" spans="3:13" ht="12.75" customHeight="1" x14ac:dyDescent="0.2">
      <c r="C61320"/>
      <c r="M61320"/>
    </row>
    <row r="61321" spans="3:13" ht="12.75" customHeight="1" x14ac:dyDescent="0.2">
      <c r="C61321"/>
      <c r="M61321"/>
    </row>
    <row r="61322" spans="3:13" ht="12.75" customHeight="1" x14ac:dyDescent="0.2">
      <c r="C61322"/>
      <c r="M61322"/>
    </row>
    <row r="61323" spans="3:13" ht="12.75" customHeight="1" x14ac:dyDescent="0.2">
      <c r="C61323"/>
      <c r="M61323"/>
    </row>
    <row r="61324" spans="3:13" ht="12.75" customHeight="1" x14ac:dyDescent="0.2">
      <c r="C61324"/>
      <c r="M61324"/>
    </row>
    <row r="61325" spans="3:13" ht="12.75" customHeight="1" x14ac:dyDescent="0.2">
      <c r="C61325"/>
      <c r="M61325"/>
    </row>
    <row r="61326" spans="3:13" ht="12.75" customHeight="1" x14ac:dyDescent="0.2">
      <c r="C61326"/>
      <c r="M61326"/>
    </row>
    <row r="61327" spans="3:13" ht="12.75" customHeight="1" x14ac:dyDescent="0.2">
      <c r="C61327"/>
      <c r="M61327"/>
    </row>
    <row r="61328" spans="3:13" ht="12.75" customHeight="1" x14ac:dyDescent="0.2">
      <c r="C61328"/>
      <c r="M61328"/>
    </row>
    <row r="61329" spans="3:13" ht="12.75" customHeight="1" x14ac:dyDescent="0.2">
      <c r="C61329"/>
      <c r="M61329"/>
    </row>
    <row r="61333" spans="3:13" ht="12.75" customHeight="1" x14ac:dyDescent="0.2">
      <c r="C61333"/>
      <c r="M61333"/>
    </row>
    <row r="61334" spans="3:13" ht="12.75" customHeight="1" x14ac:dyDescent="0.2">
      <c r="C61334"/>
      <c r="M61334"/>
    </row>
    <row r="61335" spans="3:13" ht="12.75" customHeight="1" x14ac:dyDescent="0.2">
      <c r="C61335"/>
      <c r="M61335"/>
    </row>
    <row r="61336" spans="3:13" ht="12.75" customHeight="1" x14ac:dyDescent="0.2">
      <c r="C61336"/>
      <c r="M61336"/>
    </row>
    <row r="61337" spans="3:13" ht="12.75" customHeight="1" x14ac:dyDescent="0.2">
      <c r="C61337"/>
      <c r="M61337"/>
    </row>
    <row r="61338" spans="3:13" ht="12.75" customHeight="1" x14ac:dyDescent="0.2">
      <c r="C61338"/>
      <c r="M61338"/>
    </row>
    <row r="61339" spans="3:13" ht="12.75" customHeight="1" x14ac:dyDescent="0.2">
      <c r="C61339"/>
      <c r="M61339"/>
    </row>
    <row r="61340" spans="3:13" ht="12.75" customHeight="1" x14ac:dyDescent="0.2">
      <c r="C61340"/>
      <c r="M61340"/>
    </row>
    <row r="61341" spans="3:13" ht="12.75" customHeight="1" x14ac:dyDescent="0.2">
      <c r="C61341"/>
      <c r="M61341"/>
    </row>
    <row r="61342" spans="3:13" ht="12.75" customHeight="1" x14ac:dyDescent="0.2">
      <c r="C61342"/>
      <c r="M61342"/>
    </row>
    <row r="61343" spans="3:13" ht="12.75" customHeight="1" x14ac:dyDescent="0.2">
      <c r="C61343"/>
      <c r="M61343"/>
    </row>
    <row r="61344" spans="3:13" ht="12.75" customHeight="1" x14ac:dyDescent="0.2">
      <c r="C61344"/>
      <c r="M61344"/>
    </row>
    <row r="61345" spans="3:13" ht="12.75" customHeight="1" x14ac:dyDescent="0.2">
      <c r="C61345"/>
      <c r="M61345"/>
    </row>
    <row r="61349" spans="3:13" ht="12.75" customHeight="1" x14ac:dyDescent="0.2">
      <c r="C61349"/>
      <c r="M61349"/>
    </row>
    <row r="61350" spans="3:13" ht="12.75" customHeight="1" x14ac:dyDescent="0.2">
      <c r="C61350"/>
      <c r="M61350"/>
    </row>
    <row r="61351" spans="3:13" ht="12.75" customHeight="1" x14ac:dyDescent="0.2">
      <c r="C61351"/>
      <c r="M61351"/>
    </row>
    <row r="61352" spans="3:13" ht="12.75" customHeight="1" x14ac:dyDescent="0.2">
      <c r="C61352"/>
      <c r="M61352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6" spans="3:13" ht="12.75" customHeight="1" x14ac:dyDescent="0.2">
      <c r="C61356"/>
      <c r="M61356"/>
    </row>
    <row r="61357" spans="3:13" ht="12.75" customHeight="1" x14ac:dyDescent="0.2">
      <c r="C61357"/>
      <c r="M61357"/>
    </row>
    <row r="61358" spans="3:13" ht="12.75" customHeight="1" x14ac:dyDescent="0.2">
      <c r="C61358"/>
      <c r="M61358"/>
    </row>
    <row r="61359" spans="3:13" ht="12.75" customHeight="1" x14ac:dyDescent="0.2">
      <c r="C61359"/>
      <c r="M61359"/>
    </row>
    <row r="61360" spans="3:13" ht="12.75" customHeight="1" x14ac:dyDescent="0.2">
      <c r="C61360"/>
      <c r="M61360"/>
    </row>
    <row r="61361" spans="3:13" ht="12.75" customHeight="1" x14ac:dyDescent="0.2">
      <c r="C61361"/>
      <c r="M61361"/>
    </row>
    <row r="61365" spans="3:13" ht="12.75" customHeight="1" x14ac:dyDescent="0.2">
      <c r="C61365"/>
      <c r="M61365"/>
    </row>
    <row r="61366" spans="3:13" ht="12.75" customHeight="1" x14ac:dyDescent="0.2">
      <c r="C61366"/>
      <c r="M61366"/>
    </row>
    <row r="61367" spans="3:13" ht="12.75" customHeight="1" x14ac:dyDescent="0.2">
      <c r="C61367"/>
      <c r="M61367"/>
    </row>
    <row r="61368" spans="3:13" ht="12.75" customHeight="1" x14ac:dyDescent="0.2">
      <c r="C61368"/>
      <c r="M61368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2" spans="3:13" ht="12.75" customHeight="1" x14ac:dyDescent="0.2">
      <c r="C61372"/>
      <c r="M61372"/>
    </row>
    <row r="61373" spans="3:13" ht="12.75" customHeight="1" x14ac:dyDescent="0.2">
      <c r="C61373"/>
      <c r="M61373"/>
    </row>
    <row r="61374" spans="3:13" ht="12.75" customHeight="1" x14ac:dyDescent="0.2">
      <c r="C61374"/>
      <c r="M61374"/>
    </row>
    <row r="61375" spans="3:13" ht="12.75" customHeight="1" x14ac:dyDescent="0.2">
      <c r="C61375"/>
      <c r="M61375"/>
    </row>
    <row r="61376" spans="3:13" ht="12.75" customHeight="1" x14ac:dyDescent="0.2">
      <c r="C61376"/>
      <c r="M61376"/>
    </row>
    <row r="61377" spans="3:13" ht="12.75" customHeight="1" x14ac:dyDescent="0.2">
      <c r="C61377"/>
      <c r="M61377"/>
    </row>
    <row r="61381" spans="3:13" ht="12.75" customHeight="1" x14ac:dyDescent="0.2">
      <c r="C61381"/>
      <c r="M61381"/>
    </row>
    <row r="61382" spans="3:13" ht="12.75" customHeight="1" x14ac:dyDescent="0.2">
      <c r="C61382"/>
      <c r="M61382"/>
    </row>
    <row r="61383" spans="3:13" ht="12.75" customHeight="1" x14ac:dyDescent="0.2">
      <c r="C61383"/>
      <c r="M61383"/>
    </row>
    <row r="61384" spans="3:13" ht="12.75" customHeight="1" x14ac:dyDescent="0.2">
      <c r="C61384"/>
      <c r="M61384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88" spans="3:13" ht="12.75" customHeight="1" x14ac:dyDescent="0.2">
      <c r="C61388"/>
      <c r="M61388"/>
    </row>
    <row r="61389" spans="3:13" ht="12.75" customHeight="1" x14ac:dyDescent="0.2">
      <c r="C61389"/>
      <c r="M61389"/>
    </row>
    <row r="61390" spans="3:13" ht="12.75" customHeight="1" x14ac:dyDescent="0.2">
      <c r="C61390"/>
      <c r="M61390"/>
    </row>
    <row r="61391" spans="3:13" ht="12.75" customHeight="1" x14ac:dyDescent="0.2">
      <c r="C61391"/>
      <c r="M61391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7" spans="3:13" ht="12.75" customHeight="1" x14ac:dyDescent="0.2">
      <c r="C61397"/>
      <c r="M61397"/>
    </row>
    <row r="61398" spans="3:13" ht="12.75" customHeight="1" x14ac:dyDescent="0.2">
      <c r="C61398"/>
      <c r="M61398"/>
    </row>
    <row r="61399" spans="3:13" ht="12.75" customHeight="1" x14ac:dyDescent="0.2">
      <c r="C61399"/>
      <c r="M61399"/>
    </row>
    <row r="61400" spans="3:13" ht="12.75" customHeight="1" x14ac:dyDescent="0.2">
      <c r="C61400"/>
      <c r="M61400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4" spans="3:13" ht="12.75" customHeight="1" x14ac:dyDescent="0.2">
      <c r="C61404"/>
      <c r="M61404"/>
    </row>
    <row r="61405" spans="3:13" ht="12.75" customHeight="1" x14ac:dyDescent="0.2">
      <c r="C61405"/>
      <c r="M61405"/>
    </row>
    <row r="61406" spans="3:13" ht="12.75" customHeight="1" x14ac:dyDescent="0.2">
      <c r="C61406"/>
      <c r="M61406"/>
    </row>
    <row r="61407" spans="3:13" ht="12.75" customHeight="1" x14ac:dyDescent="0.2">
      <c r="C61407"/>
      <c r="M61407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0" spans="3:13" ht="12.75" customHeight="1" x14ac:dyDescent="0.2">
      <c r="C61410"/>
      <c r="M61410"/>
    </row>
    <row r="61413" spans="3:13" ht="12.75" customHeight="1" x14ac:dyDescent="0.2">
      <c r="C61413"/>
      <c r="M61413"/>
    </row>
    <row r="61414" spans="3:13" ht="12.75" customHeight="1" x14ac:dyDescent="0.2">
      <c r="C61414"/>
      <c r="M61414"/>
    </row>
    <row r="61415" spans="3:13" ht="12.75" customHeight="1" x14ac:dyDescent="0.2">
      <c r="C61415"/>
      <c r="M61415"/>
    </row>
    <row r="61416" spans="3:13" ht="12.75" customHeight="1" x14ac:dyDescent="0.2">
      <c r="C61416"/>
      <c r="M61416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0" spans="3:13" ht="12.75" customHeight="1" x14ac:dyDescent="0.2">
      <c r="C61420"/>
      <c r="M61420"/>
    </row>
    <row r="61421" spans="3:13" ht="12.75" customHeight="1" x14ac:dyDescent="0.2">
      <c r="C61421"/>
      <c r="M61421"/>
    </row>
    <row r="61422" spans="3:13" ht="12.75" customHeight="1" x14ac:dyDescent="0.2">
      <c r="C61422"/>
      <c r="M61422"/>
    </row>
    <row r="61423" spans="3:13" ht="12.75" customHeight="1" x14ac:dyDescent="0.2">
      <c r="C61423"/>
      <c r="M61423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6" spans="3:13" ht="12.75" customHeight="1" x14ac:dyDescent="0.2">
      <c r="C61426"/>
      <c r="M61426"/>
    </row>
    <row r="61429" spans="3:13" ht="12.75" customHeight="1" x14ac:dyDescent="0.2">
      <c r="C61429"/>
      <c r="M61429"/>
    </row>
    <row r="61430" spans="3:13" ht="12.75" customHeight="1" x14ac:dyDescent="0.2">
      <c r="C61430"/>
      <c r="M61430"/>
    </row>
    <row r="61431" spans="3:13" ht="12.75" customHeight="1" x14ac:dyDescent="0.2">
      <c r="C61431"/>
      <c r="M61431"/>
    </row>
    <row r="61432" spans="3:13" ht="12.75" customHeight="1" x14ac:dyDescent="0.2">
      <c r="C61432"/>
      <c r="M61432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7" spans="3:13" ht="12.75" customHeight="1" x14ac:dyDescent="0.2">
      <c r="C61437"/>
      <c r="M61437"/>
    </row>
    <row r="61438" spans="3:13" ht="12.75" customHeight="1" x14ac:dyDescent="0.2">
      <c r="C61438"/>
      <c r="M61438"/>
    </row>
    <row r="61439" spans="3:13" ht="12.75" customHeight="1" x14ac:dyDescent="0.2">
      <c r="C61439"/>
      <c r="M61439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2" spans="3:13" ht="12.75" customHeight="1" x14ac:dyDescent="0.2">
      <c r="C61442"/>
      <c r="M61442"/>
    </row>
    <row r="61443" spans="3:13" ht="12.75" customHeight="1" x14ac:dyDescent="0.2">
      <c r="C61443"/>
      <c r="M61443"/>
    </row>
    <row r="61444" spans="3:13" ht="0" hidden="1" customHeight="1" x14ac:dyDescent="0.2"/>
    <row r="61445" spans="3:13" ht="12.75" customHeight="1" x14ac:dyDescent="0.2">
      <c r="C61445"/>
      <c r="M61445"/>
    </row>
    <row r="61446" spans="3:13" ht="12.75" customHeight="1" x14ac:dyDescent="0.2">
      <c r="C61446"/>
      <c r="M61446"/>
    </row>
    <row r="61447" spans="3:13" ht="12.75" customHeight="1" x14ac:dyDescent="0.2">
      <c r="C61447"/>
      <c r="M61447"/>
    </row>
    <row r="61448" spans="3:13" ht="12.75" customHeight="1" x14ac:dyDescent="0.2">
      <c r="C61448"/>
      <c r="M61448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3" spans="3:13" ht="12.75" customHeight="1" x14ac:dyDescent="0.2">
      <c r="C61453"/>
      <c r="M61453"/>
    </row>
    <row r="61454" spans="3:13" ht="12.75" customHeight="1" x14ac:dyDescent="0.2">
      <c r="C61454"/>
      <c r="M61454"/>
    </row>
    <row r="61455" spans="3:13" ht="12.75" customHeight="1" x14ac:dyDescent="0.2">
      <c r="C61455"/>
      <c r="M61455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58" spans="3:13" ht="12.75" customHeight="1" x14ac:dyDescent="0.2">
      <c r="C61458"/>
      <c r="M61458"/>
    </row>
    <row r="61459" spans="3:13" ht="12.75" customHeight="1" x14ac:dyDescent="0.2">
      <c r="C61459"/>
      <c r="M61459"/>
    </row>
    <row r="61460" spans="3:13" ht="12.75" customHeight="1" x14ac:dyDescent="0.2">
      <c r="C61460"/>
      <c r="M61460"/>
    </row>
    <row r="61461" spans="3:13" ht="12.75" customHeight="1" x14ac:dyDescent="0.2">
      <c r="C61461"/>
      <c r="M61461"/>
    </row>
    <row r="61462" spans="3:13" ht="12.75" customHeight="1" x14ac:dyDescent="0.2">
      <c r="C61462"/>
      <c r="M61462"/>
    </row>
    <row r="61463" spans="3:13" ht="12.75" customHeight="1" x14ac:dyDescent="0.2">
      <c r="C61463"/>
      <c r="M61463"/>
    </row>
    <row r="61464" spans="3:13" ht="12.75" customHeight="1" x14ac:dyDescent="0.2">
      <c r="C61464"/>
      <c r="M61464"/>
    </row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0" spans="3:13" ht="12.75" customHeight="1" x14ac:dyDescent="0.2">
      <c r="C61470"/>
      <c r="M61470"/>
    </row>
    <row r="61471" spans="3:13" ht="12.75" customHeight="1" x14ac:dyDescent="0.2">
      <c r="C61471"/>
      <c r="M61471"/>
    </row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4" spans="3:13" ht="12.75" customHeight="1" x14ac:dyDescent="0.2">
      <c r="C61474"/>
      <c r="M61474"/>
    </row>
    <row r="61475" spans="3:13" ht="12.75" customHeight="1" x14ac:dyDescent="0.2">
      <c r="C61475"/>
      <c r="M61475"/>
    </row>
    <row r="61476" spans="3:13" ht="12.75" customHeight="1" x14ac:dyDescent="0.2">
      <c r="C61476"/>
      <c r="M61476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12.75" customHeight="1" x14ac:dyDescent="0.2">
      <c r="C61479"/>
      <c r="M61479"/>
    </row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12.75" customHeight="1" x14ac:dyDescent="0.2">
      <c r="C61490"/>
      <c r="M61490"/>
    </row>
    <row r="61491" spans="3:13" ht="12.75" customHeight="1" x14ac:dyDescent="0.2">
      <c r="C61491"/>
      <c r="M61491"/>
    </row>
    <row r="61492" spans="3:13" ht="12.75" customHeight="1" x14ac:dyDescent="0.2">
      <c r="C61492"/>
      <c r="M61492"/>
    </row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12.75" customHeight="1" x14ac:dyDescent="0.2">
      <c r="C61506"/>
      <c r="M61506"/>
    </row>
    <row r="61507" spans="3:13" ht="12.75" customHeight="1" x14ac:dyDescent="0.2">
      <c r="C61507"/>
      <c r="M61507"/>
    </row>
    <row r="61508" spans="3:13" ht="12.75" customHeight="1" x14ac:dyDescent="0.2">
      <c r="C61508"/>
      <c r="M61508"/>
    </row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12.75" customHeight="1" x14ac:dyDescent="0.2">
      <c r="C61522"/>
      <c r="M61522"/>
    </row>
    <row r="61523" spans="3:13" ht="12.75" customHeight="1" x14ac:dyDescent="0.2">
      <c r="C61523"/>
      <c r="M61523"/>
    </row>
    <row r="61524" spans="3:13" ht="12.75" customHeight="1" x14ac:dyDescent="0.2">
      <c r="C61524"/>
      <c r="M61524"/>
    </row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12.75" customHeight="1" x14ac:dyDescent="0.2">
      <c r="C61538"/>
      <c r="M61538"/>
    </row>
    <row r="61539" spans="3:13" ht="12.75" customHeight="1" x14ac:dyDescent="0.2">
      <c r="C61539"/>
      <c r="M61539"/>
    </row>
    <row r="61540" spans="3:13" ht="12.75" customHeight="1" x14ac:dyDescent="0.2">
      <c r="C61540"/>
      <c r="M61540"/>
    </row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12.75" customHeight="1" x14ac:dyDescent="0.2">
      <c r="C61554"/>
      <c r="M61554"/>
    </row>
    <row r="61555" spans="3:13" ht="12.75" customHeight="1" x14ac:dyDescent="0.2">
      <c r="C61555"/>
      <c r="M61555"/>
    </row>
    <row r="61556" spans="3:13" ht="12.75" customHeight="1" x14ac:dyDescent="0.2">
      <c r="C61556"/>
      <c r="M61556"/>
    </row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12.75" customHeight="1" x14ac:dyDescent="0.2">
      <c r="C61571"/>
      <c r="M61571"/>
    </row>
    <row r="61572" spans="3:13" ht="12.75" customHeight="1" x14ac:dyDescent="0.2">
      <c r="C61572"/>
      <c r="M61572"/>
    </row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12.75" customHeight="1" x14ac:dyDescent="0.2">
      <c r="C61587"/>
      <c r="M61587"/>
    </row>
    <row r="61588" spans="3:13" ht="12.75" customHeight="1" x14ac:dyDescent="0.2">
      <c r="C61588"/>
      <c r="M61588"/>
    </row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12.75" customHeight="1" x14ac:dyDescent="0.2">
      <c r="C61604"/>
      <c r="M61604"/>
    </row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</sheetData>
  <sheetProtection password="BD1F" sheet="1" objects="1" scenarios="1" autoFilter="0"/>
  <autoFilter ref="C15:C32"/>
  <mergeCells count="15">
    <mergeCell ref="E15:H15"/>
    <mergeCell ref="E4:F4"/>
    <mergeCell ref="G4:H4"/>
    <mergeCell ref="S4:T4"/>
    <mergeCell ref="U4:Z4"/>
    <mergeCell ref="E5:F5"/>
    <mergeCell ref="G5:H5"/>
    <mergeCell ref="S5:T5"/>
    <mergeCell ref="U5:Z5"/>
    <mergeCell ref="F1:H1"/>
    <mergeCell ref="Q1:R1"/>
    <mergeCell ref="Y1:Z1"/>
    <mergeCell ref="F2:H2"/>
    <mergeCell ref="Q2:R2"/>
    <mergeCell ref="Y2:Z2"/>
  </mergeCells>
  <phoneticPr fontId="38" type="noConversion"/>
  <conditionalFormatting sqref="M12:N15 M23:N23 M20:N20 M26:N27 M30:N30 M32:N32">
    <cfRule type="expression" dxfId="151" priority="6233" stopIfTrue="1">
      <formula>ACOMPANHAMENTO="BM"</formula>
    </cfRule>
    <cfRule type="expression" dxfId="150" priority="6234" stopIfTrue="1">
      <formula>OR($B12=0,$B12=2,$B12=3,$B12=4)</formula>
    </cfRule>
    <cfRule type="expression" dxfId="149" priority="6235" stopIfTrue="1">
      <formula>$B12=1</formula>
    </cfRule>
  </conditionalFormatting>
  <conditionalFormatting sqref="K12:K15 K17:K32">
    <cfRule type="expression" dxfId="148" priority="6236" stopIfTrue="1">
      <formula>OR(ACOMPANHAMENTO="BM",$A$12&lt;&gt;"Manual")</formula>
    </cfRule>
    <cfRule type="expression" dxfId="147" priority="6237" stopIfTrue="1">
      <formula>$B12=1</formula>
    </cfRule>
    <cfRule type="expression" dxfId="146" priority="6238" stopIfTrue="1">
      <formula>OR($B12=2,$B12=3,$B12=4,$B12=0)</formula>
    </cfRule>
  </conditionalFormatting>
  <conditionalFormatting sqref="O12:AA15 O19:AA32">
    <cfRule type="expression" dxfId="145" priority="6239" stopIfTrue="1">
      <formula>ACOMPANHAMENTO="BM"</formula>
    </cfRule>
    <cfRule type="expression" dxfId="144" priority="6240" stopIfTrue="1">
      <formula>AND(O$12&lt;&gt;".",OR($B12=0,$B12=2,$B12=3,$B12=4,AND(O$12="",$B12&lt;&gt;"Empty"),OFFSET(O$12,0,-1)=""))</formula>
    </cfRule>
    <cfRule type="expression" dxfId="143" priority="6241" stopIfTrue="1">
      <formula>AND($B12=1,O$12&lt;&gt;".")</formula>
    </cfRule>
  </conditionalFormatting>
  <conditionalFormatting sqref="M16:N16 M19:N19">
    <cfRule type="expression" dxfId="142" priority="1547" stopIfTrue="1">
      <formula>ACOMPANHAMENTO="BM"</formula>
    </cfRule>
    <cfRule type="expression" dxfId="141" priority="1548" stopIfTrue="1">
      <formula>OR($B16=0,$B16=2,$B16=3,$B16=4)</formula>
    </cfRule>
    <cfRule type="expression" dxfId="140" priority="1549" stopIfTrue="1">
      <formula>$B16=1</formula>
    </cfRule>
  </conditionalFormatting>
  <conditionalFormatting sqref="K16">
    <cfRule type="expression" dxfId="139" priority="1550" stopIfTrue="1">
      <formula>OR(ACOMPANHAMENTO="BM",$A$12&lt;&gt;"Manual")</formula>
    </cfRule>
    <cfRule type="expression" dxfId="138" priority="1551" stopIfTrue="1">
      <formula>$B16=1</formula>
    </cfRule>
    <cfRule type="expression" dxfId="137" priority="1552" stopIfTrue="1">
      <formula>OR($B16=2,$B16=3,$B16=4,$B16=0)</formula>
    </cfRule>
  </conditionalFormatting>
  <conditionalFormatting sqref="O16:AA16">
    <cfRule type="expression" dxfId="136" priority="1553" stopIfTrue="1">
      <formula>ACOMPANHAMENTO="BM"</formula>
    </cfRule>
    <cfRule type="expression" dxfId="135" priority="1554" stopIfTrue="1">
      <formula>AND(O$12&lt;&gt;".",OR($B16=0,$B16=2,$B16=3,$B16=4,AND(O$12="",$B16&lt;&gt;"Empty"),OFFSET(O$12,0,-1)=""))</formula>
    </cfRule>
    <cfRule type="expression" dxfId="134" priority="1555" stopIfTrue="1">
      <formula>AND($B16=1,O$12&lt;&gt;".")</formula>
    </cfRule>
  </conditionalFormatting>
  <conditionalFormatting sqref="M29:N29">
    <cfRule type="expression" dxfId="133" priority="627" stopIfTrue="1">
      <formula>ACOMPANHAMENTO="BM"</formula>
    </cfRule>
    <cfRule type="expression" dxfId="132" priority="628" stopIfTrue="1">
      <formula>OR($B29=0,$B29=2,$B29=3,$B29=4)</formula>
    </cfRule>
    <cfRule type="expression" dxfId="131" priority="629" stopIfTrue="1">
      <formula>$B29=1</formula>
    </cfRule>
  </conditionalFormatting>
  <conditionalFormatting sqref="M25:N25">
    <cfRule type="expression" dxfId="130" priority="436" stopIfTrue="1">
      <formula>ACOMPANHAMENTO="BM"</formula>
    </cfRule>
    <cfRule type="expression" dxfId="129" priority="437" stopIfTrue="1">
      <formula>OR($B25=0,$B25=2,$B25=3,$B25=4)</formula>
    </cfRule>
    <cfRule type="expression" dxfId="128" priority="438" stopIfTrue="1">
      <formula>$B25=1</formula>
    </cfRule>
  </conditionalFormatting>
  <conditionalFormatting sqref="M24:N24">
    <cfRule type="expression" dxfId="127" priority="289" stopIfTrue="1">
      <formula>ACOMPANHAMENTO="BM"</formula>
    </cfRule>
    <cfRule type="expression" dxfId="126" priority="290" stopIfTrue="1">
      <formula>OR($B24=0,$B24=2,$B24=3,$B24=4)</formula>
    </cfRule>
    <cfRule type="expression" dxfId="125" priority="291" stopIfTrue="1">
      <formula>$B24=1</formula>
    </cfRule>
  </conditionalFormatting>
  <conditionalFormatting sqref="M17:N18">
    <cfRule type="expression" dxfId="124" priority="220" stopIfTrue="1">
      <formula>ACOMPANHAMENTO="BM"</formula>
    </cfRule>
    <cfRule type="expression" dxfId="123" priority="221" stopIfTrue="1">
      <formula>OR($B17=0,$B17=2,$B17=3,$B17=4)</formula>
    </cfRule>
    <cfRule type="expression" dxfId="122" priority="222" stopIfTrue="1">
      <formula>$B17=1</formula>
    </cfRule>
  </conditionalFormatting>
  <conditionalFormatting sqref="O17:AA18">
    <cfRule type="expression" dxfId="121" priority="223" stopIfTrue="1">
      <formula>ACOMPANHAMENTO="BM"</formula>
    </cfRule>
    <cfRule type="expression" dxfId="120" priority="224" stopIfTrue="1">
      <formula>AND(O$12&lt;&gt;".",OR($B17=0,$B17=2,$B17=3,$B17=4,AND(O$12="",$B17&lt;&gt;"Empty"),OFFSET(O$12,0,-1)=""))</formula>
    </cfRule>
    <cfRule type="expression" dxfId="119" priority="225" stopIfTrue="1">
      <formula>AND($B17=1,O$12&lt;&gt;".")</formula>
    </cfRule>
  </conditionalFormatting>
  <conditionalFormatting sqref="M21:N22">
    <cfRule type="expression" dxfId="118" priority="211" stopIfTrue="1">
      <formula>ACOMPANHAMENTO="BM"</formula>
    </cfRule>
    <cfRule type="expression" dxfId="117" priority="212" stopIfTrue="1">
      <formula>OR($B21=0,$B21=2,$B21=3,$B21=4)</formula>
    </cfRule>
    <cfRule type="expression" dxfId="116" priority="213" stopIfTrue="1">
      <formula>$B21=1</formula>
    </cfRule>
  </conditionalFormatting>
  <conditionalFormatting sqref="M31:N31">
    <cfRule type="expression" dxfId="115" priority="28" stopIfTrue="1">
      <formula>ACOMPANHAMENTO="BM"</formula>
    </cfRule>
    <cfRule type="expression" dxfId="114" priority="29" stopIfTrue="1">
      <formula>OR($B31=0,$B31=2,$B31=3,$B31=4)</formula>
    </cfRule>
    <cfRule type="expression" dxfId="113" priority="30" stopIfTrue="1">
      <formula>$B31=1</formula>
    </cfRule>
  </conditionalFormatting>
  <conditionalFormatting sqref="M28:N28">
    <cfRule type="expression" dxfId="112" priority="1" stopIfTrue="1">
      <formula>ACOMPANHAMENTO="BM"</formula>
    </cfRule>
    <cfRule type="expression" dxfId="111" priority="2" stopIfTrue="1">
      <formula>OR($B28=0,$B28=2,$B28=3,$B28=4)</formula>
    </cfRule>
    <cfRule type="expression" dxfId="110" priority="3" stopIfTrue="1">
      <formula>$B28=1</formula>
    </cfRule>
  </conditionalFormatting>
  <dataValidations count="4">
    <dataValidation type="decimal" operator="greaterThan" allowBlank="1" showErrorMessage="1" error="Apenas números decimais maiores que zero." sqref="O14 Q14:Z14 O16:O31 Q16:Z31">
      <formula1>0</formula1>
      <formula2>0</formula2>
    </dataValidation>
    <dataValidation type="list" allowBlank="1" showErrorMessage="1" sqref="K14 K16:K31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31"/>
    <dataValidation allowBlank="1" showInputMessage="1" showErrorMessage="1" prompt="A frente de obra é uma porção física da obra. Exemplos: Única; Rua A; Rua B; Trecho 01; Trecho 02; 1º Andar; 2º Andar; Copa; Banheiro" sqref="Q12"/>
  </dataValidations>
  <printOptions horizontalCentered="1"/>
  <pageMargins left="0.19685039370078741" right="0.19685039370078741" top="0.19685039370078741" bottom="0.19685039370078741" header="0.39370078740157483" footer="0.19685039370078741"/>
  <pageSetup paperSize="9" firstPageNumber="0" fitToHeight="3" orientation="landscape" r:id="rId1"/>
  <headerFooter alignWithMargins="0">
    <oddHeader>&amp;C&amp;14I</oddHeader>
    <oddFooter>&amp;LPMv3.0.4&amp;R&amp;P / &amp;N</oddFooter>
  </headerFooter>
  <colBreaks count="2" manualBreakCount="2">
    <brk id="16" min="3" max="48" man="1"/>
    <brk id="2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pageSetUpPr fitToPage="1"/>
  </sheetPr>
  <dimension ref="B2:F20"/>
  <sheetViews>
    <sheetView showGridLines="0" zoomScale="90" zoomScaleNormal="90" workbookViewId="0">
      <pane ySplit="14" topLeftCell="A15" activePane="bottomLeft" state="frozen"/>
      <selection pane="bottomLeft" activeCell="F36" sqref="F36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83" t="s">
        <v>266</v>
      </c>
    </row>
    <row r="4" spans="2:6" x14ac:dyDescent="0.2">
      <c r="C4" t="s">
        <v>267</v>
      </c>
    </row>
    <row r="6" spans="2:6" x14ac:dyDescent="0.2">
      <c r="C6" s="630" t="s">
        <v>446</v>
      </c>
      <c r="D6" s="630"/>
      <c r="E6" s="630"/>
      <c r="F6" s="630"/>
    </row>
    <row r="8" spans="2:6" ht="33.75" customHeight="1" x14ac:dyDescent="0.2"/>
    <row r="9" spans="2:6" ht="12" customHeight="1" x14ac:dyDescent="0.2">
      <c r="C9" s="631" t="str">
        <f>IF(ACOMPANHAMENTO="BM","Foi selecionado na aba 'MENU' o acompanhamento por BM. Não há necessidade de definição de Eventos.","")</f>
        <v/>
      </c>
      <c r="D9" s="631"/>
      <c r="E9" s="631"/>
      <c r="F9" s="631"/>
    </row>
    <row r="10" spans="2:6" ht="12" customHeight="1" x14ac:dyDescent="0.2">
      <c r="C10" s="631"/>
      <c r="D10" s="631"/>
      <c r="E10" s="631"/>
      <c r="F10" s="631"/>
    </row>
    <row r="11" spans="2:6" ht="12" customHeight="1" x14ac:dyDescent="0.2">
      <c r="C11" s="631"/>
      <c r="D11" s="631"/>
      <c r="E11" s="631"/>
      <c r="F11" s="631"/>
    </row>
    <row r="12" spans="2:6" ht="12" customHeight="1" x14ac:dyDescent="0.2"/>
    <row r="13" spans="2:6" ht="15" x14ac:dyDescent="0.25">
      <c r="C13" s="195" t="s">
        <v>268</v>
      </c>
      <c r="D13" s="632" t="s">
        <v>269</v>
      </c>
      <c r="E13" s="632"/>
      <c r="F13" s="196" t="s">
        <v>270</v>
      </c>
    </row>
    <row r="14" spans="2:6" hidden="1" x14ac:dyDescent="0.2">
      <c r="B14" t="e">
        <f t="shared" ref="B14:B18" ca="1" si="0">CONCATENATE(C14,".",D14)</f>
        <v>#VALUE!</v>
      </c>
      <c r="C14" s="197" t="e">
        <f ca="1">OFFSET(C14,-1,0)+1</f>
        <v>#VALUE!</v>
      </c>
      <c r="D14" s="629"/>
      <c r="E14" s="629"/>
      <c r="F14" s="198" t="e">
        <f ca="1">IF(AUTOEVENTO="Manual",ROUND(SUMPRODUCT((CÁLCULO!$M$15:$M$32=EVENTOS!$C14)*(OFFSET(CÁLCULO!$AA$15,0,1):OFFSET(CÁLCULO!$AL$32,0,-1))),2),0)</f>
        <v>#VALUE!</v>
      </c>
    </row>
    <row r="15" spans="2:6" x14ac:dyDescent="0.2">
      <c r="B15" t="str">
        <f t="shared" si="0"/>
        <v>1.Administração Local</v>
      </c>
      <c r="C15" s="199">
        <v>1</v>
      </c>
      <c r="D15" s="633" t="s">
        <v>271</v>
      </c>
      <c r="E15" s="633"/>
      <c r="F15" s="200">
        <f ca="1">IF(AUTOEVENTO="Manual",ROUND(SUMIF(CÁLCULO!$M$15:$M$32,1,ORÇAMENTO!$X$15:$X$32),2),0)</f>
        <v>0</v>
      </c>
    </row>
    <row r="16" spans="2:6" x14ac:dyDescent="0.2">
      <c r="B16" t="str">
        <f t="shared" ca="1" si="0"/>
        <v>2.Serviços Preliminares</v>
      </c>
      <c r="C16" s="197">
        <f ca="1">OFFSET(C16,-1,0)+1</f>
        <v>2</v>
      </c>
      <c r="D16" s="629" t="s">
        <v>454</v>
      </c>
      <c r="E16" s="629"/>
      <c r="F16" s="198">
        <f ca="1">IF(AUTOEVENTO="Manual",ROUND(SUMPRODUCT((CÁLCULO!$M$15:$M$32=EVENTOS!$C16)*(OFFSET(CÁLCULO!$AA$15,0,1):OFFSET(CÁLCULO!$AL$32,0,-1))),2),0)</f>
        <v>0</v>
      </c>
    </row>
    <row r="17" spans="2:6" x14ac:dyDescent="0.2">
      <c r="B17" t="str">
        <f t="shared" ca="1" si="0"/>
        <v xml:space="preserve">3.Terraplanagem </v>
      </c>
      <c r="C17" s="197">
        <f ca="1">OFFSET(C17,-1,0)+1</f>
        <v>3</v>
      </c>
      <c r="D17" s="629" t="s">
        <v>471</v>
      </c>
      <c r="E17" s="629"/>
      <c r="F17" s="198">
        <f ca="1">IF(AUTOEVENTO="Manual",ROUND(SUMPRODUCT((CÁLCULO!$M$15:$M$32=EVENTOS!$C17)*(OFFSET(CÁLCULO!$AA$15,0,1):OFFSET(CÁLCULO!$AL$32,0,-1))),2),0)</f>
        <v>0</v>
      </c>
    </row>
    <row r="18" spans="2:6" x14ac:dyDescent="0.2">
      <c r="B18" t="str">
        <f t="shared" ca="1" si="0"/>
        <v>4.Pavimantação - Pista</v>
      </c>
      <c r="C18" s="197">
        <f ca="1">OFFSET(C18,-1,0)+1</f>
        <v>4</v>
      </c>
      <c r="D18" s="629" t="s">
        <v>472</v>
      </c>
      <c r="E18" s="629"/>
      <c r="F18" s="198">
        <f ca="1">IF(AUTOEVENTO="Manual",ROUND(SUMPRODUCT((CÁLCULO!$M$15:$M$32=EVENTOS!$C18)*(OFFSET(CÁLCULO!$AA$15,0,1):OFFSET(CÁLCULO!$AL$32,0,-1))),2),0)</f>
        <v>0</v>
      </c>
    </row>
    <row r="19" spans="2:6" s="573" customFormat="1" x14ac:dyDescent="0.2">
      <c r="B19" s="573" t="str">
        <f t="shared" ref="B19" ca="1" si="1">CONCATENATE(C19,".",D19)</f>
        <v xml:space="preserve">5.Sinalização Vertical </v>
      </c>
      <c r="C19" s="197">
        <f t="shared" ref="C19" ca="1" si="2">OFFSET(C19,-1,0)+1</f>
        <v>5</v>
      </c>
      <c r="D19" s="629" t="s">
        <v>473</v>
      </c>
      <c r="E19" s="629"/>
      <c r="F19" s="198">
        <f ca="1">IF(AUTOEVENTO="Manual",ROUND(SUMPRODUCT((CÁLCULO!$M$15:$M$32=EVENTOS!$C19)*(OFFSET(CÁLCULO!$AA$15,0,1):OFFSET(CÁLCULO!$AL$32,0,-1))),2),0)</f>
        <v>0</v>
      </c>
    </row>
    <row r="20" spans="2:6" ht="5.0999999999999996" customHeight="1" x14ac:dyDescent="0.2">
      <c r="C20" s="190"/>
      <c r="D20" s="201"/>
      <c r="E20" s="201"/>
      <c r="F20" s="202"/>
    </row>
  </sheetData>
  <sheetProtection password="BD1F" sheet="1" objects="1" scenarios="1"/>
  <mergeCells count="9">
    <mergeCell ref="D19:E19"/>
    <mergeCell ref="D18:E18"/>
    <mergeCell ref="D17:E17"/>
    <mergeCell ref="D16:E16"/>
    <mergeCell ref="C6:F6"/>
    <mergeCell ref="C9:F11"/>
    <mergeCell ref="D13:E13"/>
    <mergeCell ref="D14:E14"/>
    <mergeCell ref="D15:E15"/>
  </mergeCells>
  <phoneticPr fontId="38" type="noConversion"/>
  <conditionalFormatting sqref="C13:F15 C19:F20">
    <cfRule type="expression" dxfId="109" priority="106" stopIfTrue="1">
      <formula>OR(AUTOEVENTO&lt;&gt;"Manual",ACOMPANHAMENTO="BM")</formula>
    </cfRule>
  </conditionalFormatting>
  <conditionalFormatting sqref="C16:F17">
    <cfRule type="expression" dxfId="108" priority="6" stopIfTrue="1">
      <formula>OR(AUTOEVENTO&lt;&gt;"Manual",ACOMPANHAMENTO="BM")</formula>
    </cfRule>
  </conditionalFormatting>
  <conditionalFormatting sqref="C18:F18">
    <cfRule type="expression" dxfId="107" priority="4" stopIfTrue="1">
      <formula>OR(AUTOEVENTO&lt;&gt;"Manual",ACOMPANHAMENTO="BM")</formula>
    </cfRule>
  </conditionalFormatting>
  <dataValidations disablePrompts="1" count="1">
    <dataValidation type="list" allowBlank="1" showErrorMessage="1" sqref="C6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9" firstPageNumber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 filterMode="1"/>
  <dimension ref="A1:AF48"/>
  <sheetViews>
    <sheetView showGridLines="0" zoomScale="90" zoomScaleNormal="90" zoomScaleSheetLayoutView="90" workbookViewId="0">
      <pane xSplit="19" ySplit="13" topLeftCell="T14" activePane="bottomRight" state="frozen"/>
      <selection activeCell="F4" sqref="F4"/>
      <selection pane="topRight" activeCell="T4" sqref="T4"/>
      <selection pane="bottomLeft" activeCell="F14" sqref="F14"/>
      <selection pane="bottomRight" activeCell="T15" sqref="T15"/>
    </sheetView>
  </sheetViews>
  <sheetFormatPr defaultRowHeight="12.75" x14ac:dyDescent="0.2"/>
  <cols>
    <col min="1" max="3" width="9.140625" style="203" hidden="1" customWidth="1"/>
    <col min="4" max="4" width="11" style="204" hidden="1" customWidth="1"/>
    <col min="5" max="5" width="19" style="203" hidden="1" customWidth="1"/>
    <col min="6" max="6" width="3.7109375" style="204" customWidth="1"/>
    <col min="7" max="7" width="12.7109375" style="203" customWidth="1"/>
    <col min="8" max="8" width="7.140625" style="204" customWidth="1"/>
    <col min="9" max="9" width="14.5703125" style="204" customWidth="1"/>
    <col min="10" max="10" width="12" style="204" customWidth="1"/>
    <col min="11" max="11" width="11" style="204" customWidth="1"/>
    <col min="12" max="17" width="0" style="203" hidden="1" customWidth="1"/>
    <col min="18" max="18" width="11.42578125" style="205" customWidth="1"/>
    <col min="19" max="19" width="10.7109375" style="205" customWidth="1"/>
    <col min="20" max="31" width="11" style="204" customWidth="1"/>
    <col min="32" max="32" width="0.140625" style="204" customWidth="1"/>
    <col min="33" max="16384" width="9.140625" style="204"/>
  </cols>
  <sheetData>
    <row r="1" spans="1:32" hidden="1" x14ac:dyDescent="0.2">
      <c r="A1" s="203" t="e">
        <f ca="1">OFFSET(A1,-3,0)+1</f>
        <v>#REF!</v>
      </c>
      <c r="B1" s="203" t="e">
        <f ca="1">IF($Q1&lt;&gt;2,0,IF($R1=0,1,IF(E2&gt;0,OFFSET(QCI!$M$13,SUBSTITUTE(E2,".",""),0),OFFSET(ORÇAMENTO!$AA$15,CRONO!$E1,0))/$R1))</f>
        <v>#REF!</v>
      </c>
      <c r="C1" s="203" t="e">
        <f ca="1">IF($Q1&lt;&gt;2,0,IF($R1=0,1,IF(E2&gt;0,OFFSET(QCI!$N$13,SUBSTITUTE(E2,".",""),0),OFFSET(ORÇAMENTO!$AB$15,CRONO!$E1,0))/$R1))</f>
        <v>#REF!</v>
      </c>
      <c r="D1" s="206" t="e">
        <f ca="1">IF(AND($Q1=2,ACOMPANHAMENTO="BM"),D2,D3/$R1)</f>
        <v>#REF!</v>
      </c>
      <c r="E1" s="203" t="e">
        <f ca="1">IF(A1&lt;=ORÇAMENTO.MáximoListaCrono,MATCH(A1,ORÇAMENTO.ListaCrono,0),NA())</f>
        <v>#REF!</v>
      </c>
      <c r="F1" s="203" t="e">
        <f ca="1">IF(AND($E2&lt;&gt;-1,$R1&gt;0),"F","")</f>
        <v>#REF!</v>
      </c>
      <c r="G1" s="207" t="e">
        <f ca="1">IF(OR(R1=0,R1=""),"Linha",IF(AND(OR(ACOMPANHAMENTO="PLE",$Q1&lt;&gt;2),$E2=0),"Linha",1-SUM(T1:AF1)))</f>
        <v>#REF!</v>
      </c>
      <c r="H1" s="208" t="e">
        <f ca="1">IF($E2=0,OFFSET(ORÇAMENTO!O$15,$E1,0),IF($E2&lt;&gt;-1,OFFSET(QCI!$D$13,$E2,0),""))</f>
        <v>#REF!</v>
      </c>
      <c r="I1" s="209" t="e">
        <f ca="1">IF($E2=0,OFFSET(ORÇAMENTO!R$15,$E1,0),IF($E2&lt;&gt;-1,OFFSET(QCI!$G$13,$E2,0),""))</f>
        <v>#REF!</v>
      </c>
      <c r="J1" s="209"/>
      <c r="K1" s="209"/>
      <c r="L1" s="210" t="e">
        <f ca="1">IF($E2=0,OFFSET(ORÇAMENTO!C$15,$E1,0),1)</f>
        <v>#REF!</v>
      </c>
      <c r="M1" s="211" t="e">
        <f ca="1">IF($E2=-1,0,IF(M$13&lt;=$L1,IF(ISERROR(MATCH(M$13,OFFSET($L1,1,0,ROW($L$32)-ROW($L1)-1),0)),ROW($L$32)-ROW($L1)-1,MATCH(M$13,OFFSET($L1,1,0,ROW($L$32)-ROW($L1)-1),0)-1),0))</f>
        <v>#REF!</v>
      </c>
      <c r="N1" s="211" t="e">
        <f ca="1">IF($E2=-1,0,IF(N$13&lt;=$L1,IF(ISERROR(MATCH(N$13,OFFSET($L1,1,0,ROW($L$32)-ROW($L1)-1),0)),ROW($L$32)-ROW($L1)-1,MATCH(N$13,OFFSET($L1,1,0,ROW($L$32)-ROW($L1)-1),0)-1),0))</f>
        <v>#REF!</v>
      </c>
      <c r="O1" s="211" t="e">
        <f ca="1">IF($E2=-1,0,IF(O$13&lt;=$L1,IF(ISERROR(MATCH(O$13,OFFSET($L1,1,0,ROW($L$32)-ROW($L1)-1),0)),ROW($L$32)-ROW($L1)-1,MATCH(O$13,OFFSET($L1,1,0,ROW($L$32)-ROW($L1)-1),0)-1),0))</f>
        <v>#REF!</v>
      </c>
      <c r="P1" s="211" t="e">
        <f ca="1">IF($E2=-1,0,IF(P$13&lt;=$L1,IF(ISERROR(MATCH(P$13,OFFSET($L1,1,0,ROW($L$32)-ROW($L1)-1),0)),ROW($L$32)-ROW($L1)-1,MATCH(P$13,OFFSET($L1,1,0,ROW($L$32)-ROW($L1)-1),0)-1),0))</f>
        <v>#REF!</v>
      </c>
      <c r="Q1" s="211" t="e">
        <f ca="1">MIN(OFFSET(L1,0,1,,L1))</f>
        <v>#REF!</v>
      </c>
      <c r="R1" s="212" t="e">
        <f ca="1">IF($E2=0,OFFSET(ORÇAMENTO!X$15,$E1,0),IF($E2&lt;&gt;-1,OFFSET(QCI!$O$13,$E2,0),""))</f>
        <v>#REF!</v>
      </c>
      <c r="S1" s="213" t="s">
        <v>272</v>
      </c>
      <c r="T1" s="214" t="e">
        <f t="shared" ref="T1:AE1" ca="1" si="0">IF(AND($Q1=2,ACOMPANHAMENTO="BM"),T2,T3/$R1)</f>
        <v>#REF!</v>
      </c>
      <c r="U1" s="206" t="e">
        <f t="shared" ca="1" si="0"/>
        <v>#REF!</v>
      </c>
      <c r="V1" s="206" t="e">
        <f t="shared" ca="1" si="0"/>
        <v>#REF!</v>
      </c>
      <c r="W1" s="206" t="e">
        <f t="shared" ca="1" si="0"/>
        <v>#REF!</v>
      </c>
      <c r="X1" s="206" t="e">
        <f t="shared" ca="1" si="0"/>
        <v>#REF!</v>
      </c>
      <c r="Y1" s="206" t="e">
        <f t="shared" ca="1" si="0"/>
        <v>#REF!</v>
      </c>
      <c r="Z1" s="206" t="e">
        <f t="shared" ca="1" si="0"/>
        <v>#REF!</v>
      </c>
      <c r="AA1" s="206" t="e">
        <f t="shared" ca="1" si="0"/>
        <v>#REF!</v>
      </c>
      <c r="AB1" s="206" t="e">
        <f t="shared" ca="1" si="0"/>
        <v>#REF!</v>
      </c>
      <c r="AC1" s="206" t="e">
        <f t="shared" ca="1" si="0"/>
        <v>#REF!</v>
      </c>
      <c r="AD1" s="206" t="e">
        <f t="shared" ca="1" si="0"/>
        <v>#REF!</v>
      </c>
      <c r="AE1" s="215" t="e">
        <f t="shared" ca="1" si="0"/>
        <v>#REF!</v>
      </c>
    </row>
    <row r="2" spans="1:32" ht="12.75" hidden="1" customHeight="1" x14ac:dyDescent="0.2">
      <c r="D2" s="569"/>
      <c r="E2" s="203" t="e">
        <f ca="1">IF(ISERROR(E1),IF(1+COUNTIF($L$13:OFFSET(L1,-1,0),1)&lt;=MAX(QCI!$D$13:$D$15),1+COUNTIF($L$13:OFFSET(L1,-1,0),1),-1),0)</f>
        <v>#REF!</v>
      </c>
      <c r="F2" s="203" t="e">
        <f ca="1">IF(AND($E2&lt;&gt;-1,$R1&gt;0),"F","")</f>
        <v>#REF!</v>
      </c>
      <c r="G2" s="216" t="e">
        <f ca="1">IF(OR(R1=0,R1=""),"vazia",IF(AND(OR(ACOMPANHAMENTO="PLE",$Q1&lt;&gt;2),$E2=0),"calculada","--&gt;"))</f>
        <v>#REF!</v>
      </c>
      <c r="H2" s="217"/>
      <c r="I2" s="218" t="e">
        <f ca="1">IF(AND(G1&lt;&gt;0,ISNUMBER(G1)),"PREENCHA ESTA LINHA --&gt;","")</f>
        <v>#REF!</v>
      </c>
      <c r="J2" s="218"/>
      <c r="K2" s="218"/>
      <c r="L2" s="219"/>
      <c r="M2" s="219"/>
      <c r="N2" s="219"/>
      <c r="O2" s="219"/>
      <c r="P2" s="219"/>
      <c r="Q2" s="219"/>
      <c r="R2" s="220"/>
      <c r="S2" s="221"/>
      <c r="T2" s="570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71"/>
      <c r="AF2" s="533"/>
    </row>
    <row r="3" spans="1:32" ht="0.2" hidden="1" customHeight="1" x14ac:dyDescent="0.2">
      <c r="D3" s="222" t="e">
        <f ca="1">IF($Q1=2,IF(AND(ACOMPANHAMENTO="PLE",ISNUMBER($E1)),SUMIF((OFFSET(CÁLCULO!$AM$15:$AW$15,$E1,0,OFFSET(ORÇAMENTO!$D$15,CRONO!$E1,0))),"="&amp;CRONO!D$12,OFFSET(CÁLCULO!$AB$15:$AL$15,$E1,0,OFFSET(ORÇAMENTO!$D$15,CRONO!$E1,0)))+IF(AND($E3&lt;&gt;"",$E3&lt;&gt;0),SUMIF(CÁLCULO!$AM$15:$AW$32,"="&amp;CRONO!D$12,CÁLCULO!$AB$15:$AL$32)/(ORÇAMENTO!$X$15-CÁLCULO.TotalAdmLocal)*CRONO!$E3,0),D2*$R1),SUMIF(OFFSET($R3,1,0,$Q1-2),($L1+1)&amp;"$",OFFSET(D3,1,0,$Q1-2)))</f>
        <v>#REF!</v>
      </c>
      <c r="E3" s="203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23"/>
      <c r="R3" s="224" t="e">
        <f ca="1">L1&amp;"$"</f>
        <v>#REF!</v>
      </c>
      <c r="S3" s="225"/>
      <c r="T3" s="226" t="e">
        <f ca="1">IF($Q1=2,IF(AND(ACOMPANHAMENTO="PLE",ISNUMBER($E1)),SUMIF((OFFSET(CÁLCULO!$AM$15:$AW$15,$E1,0,OFFSET(ORÇAMENTO!$D$15,CRONO!$E1,0))),"&lt;="&amp;CRONO!T$12,OFFSET(CÁLCULO!$AB$15:$AL$15,$E1,0,OFFSET(ORÇAMENTO!$D$15,CRONO!$E1,0)))+IF(AND($E3&lt;&gt;"",$E3&lt;&gt;0),SUMIF(CÁLCULO!$AM$15:$AW$32,"&lt;="&amp;CRONO!T$12,CÁLCULO!$AB$15:$AL$32)/(ORÇAMENTO!$X$15-CÁLCULO.TotalAdmLocal)*CRONO!$E3,0),T2*$R1),SUMIF(OFFSET($R3,1,0,$Q1-2),($L1+1)&amp;"$",OFFSET(T3,1,0,$Q1-2)))</f>
        <v>#REF!</v>
      </c>
      <c r="U3" s="222" t="e">
        <f ca="1">IF($Q1=2,IF(AND(ACOMPANHAMENTO="PLE",ISNUMBER($E1)),SUMIF((OFFSET(CÁLCULO!$AM$15:$AW$15,$E1,0,OFFSET(ORÇAMENTO!$D$15,CRONO!$E1,0))),"="&amp;CRONO!U$12,OFFSET(CÁLCULO!$AB$15:$AL$15,$E1,0,OFFSET(ORÇAMENTO!$D$15,CRONO!$E1,0)))+IF(AND($E3&lt;&gt;"",$E3&lt;&gt;0),SUMIF(CÁLCULO!$AM$15:$AW$32,"="&amp;CRONO!U$12,CÁLCULO!$AB$15:$AL$32)/(ORÇAMENTO!$X$15-CÁLCULO.TotalAdmLocal)*CRONO!$E3,0),U2*$R1),SUMIF(OFFSET($R3,1,0,$Q1-2),($L1+1)&amp;"$",OFFSET(U3,1,0,$Q1-2)))</f>
        <v>#REF!</v>
      </c>
      <c r="V3" s="222" t="e">
        <f ca="1">IF($Q1=2,IF(AND(ACOMPANHAMENTO="PLE",ISNUMBER($E1)),SUMIF((OFFSET(CÁLCULO!$AM$15:$AW$15,$E1,0,OFFSET(ORÇAMENTO!$D$15,CRONO!$E1,0))),"="&amp;CRONO!V$12,OFFSET(CÁLCULO!$AB$15:$AL$15,$E1,0,OFFSET(ORÇAMENTO!$D$15,CRONO!$E1,0)))+IF(AND($E3&lt;&gt;"",$E3&lt;&gt;0),SUMIF(CÁLCULO!$AM$15:$AW$32,"="&amp;CRONO!V$12,CÁLCULO!$AB$15:$AL$32)/(ORÇAMENTO!$X$15-CÁLCULO.TotalAdmLocal)*CRONO!$E3,0),V2*$R1),SUMIF(OFFSET($R3,1,0,$Q1-2),($L1+1)&amp;"$",OFFSET(V3,1,0,$Q1-2)))</f>
        <v>#REF!</v>
      </c>
      <c r="W3" s="222" t="e">
        <f ca="1">IF($Q1=2,IF(AND(ACOMPANHAMENTO="PLE",ISNUMBER($E1)),SUMIF((OFFSET(CÁLCULO!$AM$15:$AW$15,$E1,0,OFFSET(ORÇAMENTO!$D$15,CRONO!$E1,0))),"="&amp;CRONO!W$12,OFFSET(CÁLCULO!$AB$15:$AL$15,$E1,0,OFFSET(ORÇAMENTO!$D$15,CRONO!$E1,0)))+IF(AND($E3&lt;&gt;"",$E3&lt;&gt;0),SUMIF(CÁLCULO!$AM$15:$AW$32,"="&amp;CRONO!W$12,CÁLCULO!$AB$15:$AL$32)/(ORÇAMENTO!$X$15-CÁLCULO.TotalAdmLocal)*CRONO!$E3,0),W2*$R1),SUMIF(OFFSET($R3,1,0,$Q1-2),($L1+1)&amp;"$",OFFSET(W3,1,0,$Q1-2)))</f>
        <v>#REF!</v>
      </c>
      <c r="X3" s="222" t="e">
        <f ca="1">IF($Q1=2,IF(AND(ACOMPANHAMENTO="PLE",ISNUMBER($E1)),SUMIF((OFFSET(CÁLCULO!$AM$15:$AW$15,$E1,0,OFFSET(ORÇAMENTO!$D$15,CRONO!$E1,0))),"="&amp;CRONO!X$12,OFFSET(CÁLCULO!$AB$15:$AL$15,$E1,0,OFFSET(ORÇAMENTO!$D$15,CRONO!$E1,0)))+IF(AND($E3&lt;&gt;"",$E3&lt;&gt;0),SUMIF(CÁLCULO!$AM$15:$AW$32,"="&amp;CRONO!X$12,CÁLCULO!$AB$15:$AL$32)/(ORÇAMENTO!$X$15-CÁLCULO.TotalAdmLocal)*CRONO!$E3,0),X2*$R1),SUMIF(OFFSET($R3,1,0,$Q1-2),($L1+1)&amp;"$",OFFSET(X3,1,0,$Q1-2)))</f>
        <v>#REF!</v>
      </c>
      <c r="Y3" s="222" t="e">
        <f ca="1">IF($Q1=2,IF(AND(ACOMPANHAMENTO="PLE",ISNUMBER($E1)),SUMIF((OFFSET(CÁLCULO!$AM$15:$AW$15,$E1,0,OFFSET(ORÇAMENTO!$D$15,CRONO!$E1,0))),"="&amp;CRONO!Y$12,OFFSET(CÁLCULO!$AB$15:$AL$15,$E1,0,OFFSET(ORÇAMENTO!$D$15,CRONO!$E1,0)))+IF(AND($E3&lt;&gt;"",$E3&lt;&gt;0),SUMIF(CÁLCULO!$AM$15:$AW$32,"="&amp;CRONO!Y$12,CÁLCULO!$AB$15:$AL$32)/(ORÇAMENTO!$X$15-CÁLCULO.TotalAdmLocal)*CRONO!$E3,0),Y2*$R1),SUMIF(OFFSET($R3,1,0,$Q1-2),($L1+1)&amp;"$",OFFSET(Y3,1,0,$Q1-2)))</f>
        <v>#REF!</v>
      </c>
      <c r="Z3" s="222" t="e">
        <f ca="1">IF($Q1=2,IF(AND(ACOMPANHAMENTO="PLE",ISNUMBER($E1)),SUMIF((OFFSET(CÁLCULO!$AM$15:$AW$15,$E1,0,OFFSET(ORÇAMENTO!$D$15,CRONO!$E1,0))),"="&amp;CRONO!Z$12,OFFSET(CÁLCULO!$AB$15:$AL$15,$E1,0,OFFSET(ORÇAMENTO!$D$15,CRONO!$E1,0)))+IF(AND($E3&lt;&gt;"",$E3&lt;&gt;0),SUMIF(CÁLCULO!$AM$15:$AW$32,"="&amp;CRONO!Z$12,CÁLCULO!$AB$15:$AL$32)/(ORÇAMENTO!$X$15-CÁLCULO.TotalAdmLocal)*CRONO!$E3,0),Z2*$R1),SUMIF(OFFSET($R3,1,0,$Q1-2),($L1+1)&amp;"$",OFFSET(Z3,1,0,$Q1-2)))</f>
        <v>#REF!</v>
      </c>
      <c r="AA3" s="222" t="e">
        <f ca="1">IF($Q1=2,IF(AND(ACOMPANHAMENTO="PLE",ISNUMBER($E1)),SUMIF((OFFSET(CÁLCULO!$AM$15:$AW$15,$E1,0,OFFSET(ORÇAMENTO!$D$15,CRONO!$E1,0))),"="&amp;CRONO!AA$12,OFFSET(CÁLCULO!$AB$15:$AL$15,$E1,0,OFFSET(ORÇAMENTO!$D$15,CRONO!$E1,0)))+IF(AND($E3&lt;&gt;"",$E3&lt;&gt;0),SUMIF(CÁLCULO!$AM$15:$AW$32,"="&amp;CRONO!AA$12,CÁLCULO!$AB$15:$AL$32)/(ORÇAMENTO!$X$15-CÁLCULO.TotalAdmLocal)*CRONO!$E3,0),AA2*$R1),SUMIF(OFFSET($R3,1,0,$Q1-2),($L1+1)&amp;"$",OFFSET(AA3,1,0,$Q1-2)))</f>
        <v>#REF!</v>
      </c>
      <c r="AB3" s="222" t="e">
        <f ca="1">IF($Q1=2,IF(AND(ACOMPANHAMENTO="PLE",ISNUMBER($E1)),SUMIF((OFFSET(CÁLCULO!$AM$15:$AW$15,$E1,0,OFFSET(ORÇAMENTO!$D$15,CRONO!$E1,0))),"="&amp;CRONO!AB$12,OFFSET(CÁLCULO!$AB$15:$AL$15,$E1,0,OFFSET(ORÇAMENTO!$D$15,CRONO!$E1,0)))+IF(AND($E3&lt;&gt;"",$E3&lt;&gt;0),SUMIF(CÁLCULO!$AM$15:$AW$32,"="&amp;CRONO!AB$12,CÁLCULO!$AB$15:$AL$32)/(ORÇAMENTO!$X$15-CÁLCULO.TotalAdmLocal)*CRONO!$E3,0),AB2*$R1),SUMIF(OFFSET($R3,1,0,$Q1-2),($L1+1)&amp;"$",OFFSET(AB3,1,0,$Q1-2)))</f>
        <v>#REF!</v>
      </c>
      <c r="AC3" s="222" t="e">
        <f ca="1">IF($Q1=2,IF(AND(ACOMPANHAMENTO="PLE",ISNUMBER($E1)),SUMIF((OFFSET(CÁLCULO!$AM$15:$AW$15,$E1,0,OFFSET(ORÇAMENTO!$D$15,CRONO!$E1,0))),"="&amp;CRONO!AC$12,OFFSET(CÁLCULO!$AB$15:$AL$15,$E1,0,OFFSET(ORÇAMENTO!$D$15,CRONO!$E1,0)))+IF(AND($E3&lt;&gt;"",$E3&lt;&gt;0),SUMIF(CÁLCULO!$AM$15:$AW$32,"="&amp;CRONO!AC$12,CÁLCULO!$AB$15:$AL$32)/(ORÇAMENTO!$X$15-CÁLCULO.TotalAdmLocal)*CRONO!$E3,0),AC2*$R1),SUMIF(OFFSET($R3,1,0,$Q1-2),($L1+1)&amp;"$",OFFSET(AC3,1,0,$Q1-2)))</f>
        <v>#REF!</v>
      </c>
      <c r="AD3" s="222" t="e">
        <f ca="1">IF($Q1=2,IF(AND(ACOMPANHAMENTO="PLE",ISNUMBER($E1)),SUMIF((OFFSET(CÁLCULO!$AM$15:$AW$15,$E1,0,OFFSET(ORÇAMENTO!$D$15,CRONO!$E1,0))),"="&amp;CRONO!AD$12,OFFSET(CÁLCULO!$AB$15:$AL$15,$E1,0,OFFSET(ORÇAMENTO!$D$15,CRONO!$E1,0)))+IF(AND($E3&lt;&gt;"",$E3&lt;&gt;0),SUMIF(CÁLCULO!$AM$15:$AW$32,"="&amp;CRONO!AD$12,CÁLCULO!$AB$15:$AL$32)/(ORÇAMENTO!$X$15-CÁLCULO.TotalAdmLocal)*CRONO!$E3,0),AD2*$R1),SUMIF(OFFSET($R3,1,0,$Q1-2),($L1+1)&amp;"$",OFFSET(AD3,1,0,$Q1-2)))</f>
        <v>#REF!</v>
      </c>
      <c r="AE3" s="227" t="e">
        <f ca="1">IF($Q1=2,IF(AND(ACOMPANHAMENTO="PLE",ISNUMBER($E1)),SUMIF((OFFSET(CÁLCULO!$AM$15:$AW$15,$E1,0,OFFSET(ORÇAMENTO!$D$15,CRONO!$E1,0))),"="&amp;CRONO!AE$12,OFFSET(CÁLCULO!$AB$15:$AL$15,$E1,0,OFFSET(ORÇAMENTO!$D$15,CRONO!$E1,0)))+IF(AND($E3&lt;&gt;"",$E3&lt;&gt;0),SUMIF(CÁLCULO!$AM$15:$AW$32,"="&amp;CRONO!AE$12,CÁLCULO!$AB$15:$AL$32)/(ORÇAMENTO!$X$15-CÁLCULO.TotalAdmLocal)*CRONO!$E3,0),AE2*$R1),SUMIF(OFFSET($R3,1,0,$Q1-2),($L1+1)&amp;"$",OFFSET(AE3,1,0,$Q1-2)))</f>
        <v>#REF!</v>
      </c>
    </row>
    <row r="4" spans="1:32" ht="15" customHeight="1" x14ac:dyDescent="0.25">
      <c r="R4" s="228" t="str">
        <f>IF(TIPOORCAMENTO="licitado","CRONOGRAMA FÍSICO-FINANCEIRO LICITADO","CRONOGRAMA FÍSICO-FINANCEIRO")</f>
        <v>CRONOGRAMA FÍSICO-FINANCEIRO</v>
      </c>
      <c r="AD4" s="583" t="s">
        <v>141</v>
      </c>
      <c r="AE4" s="583"/>
    </row>
    <row r="5" spans="1:32" ht="15" x14ac:dyDescent="0.2">
      <c r="R5" s="84" t="str">
        <f>import.recurso</f>
        <v>OGU</v>
      </c>
      <c r="AD5" s="584" t="s">
        <v>144</v>
      </c>
      <c r="AE5" s="584"/>
    </row>
    <row r="6" spans="1:32" ht="12.75" customHeight="1" x14ac:dyDescent="0.2"/>
    <row r="7" spans="1:32" ht="12.75" customHeight="1" x14ac:dyDescent="0.2">
      <c r="E7" s="229"/>
      <c r="G7" s="635" t="s">
        <v>273</v>
      </c>
      <c r="H7" s="230" t="s">
        <v>147</v>
      </c>
      <c r="I7" s="231"/>
      <c r="J7" s="232" t="s">
        <v>148</v>
      </c>
      <c r="K7" s="233" t="s">
        <v>274</v>
      </c>
      <c r="L7" s="204"/>
      <c r="M7" s="204"/>
      <c r="N7" s="204"/>
      <c r="S7" s="234"/>
      <c r="T7" s="230" t="s">
        <v>275</v>
      </c>
      <c r="X7" s="231"/>
      <c r="Y7" s="230" t="str">
        <f>IF(TIPOORCAMENTO="Licitado","NOME DA EMPRESA","DESCRIÇÃO DO LOTE")</f>
        <v>DESCRIÇÃO DO LOTE</v>
      </c>
      <c r="AE7" s="235" t="str">
        <f>IF(TIPOORCAMENTO="Licitado","Nº CTEF","")</f>
        <v/>
      </c>
    </row>
    <row r="8" spans="1:32" x14ac:dyDescent="0.2">
      <c r="D8" s="203"/>
      <c r="E8" s="116"/>
      <c r="F8" s="611" t="s">
        <v>211</v>
      </c>
      <c r="G8" s="635"/>
      <c r="H8" s="634">
        <f>Import.CR</f>
        <v>0</v>
      </c>
      <c r="I8" s="634"/>
      <c r="J8" s="236">
        <f>Import.SICONV</f>
        <v>0</v>
      </c>
      <c r="K8" s="644" t="str">
        <f>Import.Proponente</f>
        <v>Prefeitura Municipal de Caçapava do Sul</v>
      </c>
      <c r="L8" s="644"/>
      <c r="M8" s="644"/>
      <c r="N8" s="644"/>
      <c r="O8" s="644"/>
      <c r="P8" s="644"/>
      <c r="Q8" s="644"/>
      <c r="R8" s="644"/>
      <c r="S8" s="644"/>
      <c r="T8" s="634" t="str">
        <f>Import.Apelido</f>
        <v>Calçamento da Rua Tomé Medeiros</v>
      </c>
      <c r="U8" s="634"/>
      <c r="V8" s="634"/>
      <c r="W8" s="634"/>
      <c r="X8" s="634"/>
      <c r="Y8" s="641" t="str">
        <f>IF(TIPOORCAMENTO="Licitado",Import.empresa,Import.DescLote)</f>
        <v>Lote Único - Empreitada Preço Global</v>
      </c>
      <c r="Z8" s="641"/>
      <c r="AA8" s="641"/>
      <c r="AB8" s="641"/>
      <c r="AC8" s="641"/>
      <c r="AD8" s="641"/>
      <c r="AE8" s="223" t="str">
        <f>IF(TIPOORCAMENTO="Licitado",Import.CTEF,"")</f>
        <v/>
      </c>
    </row>
    <row r="9" spans="1:32" x14ac:dyDescent="0.2">
      <c r="E9" s="116"/>
      <c r="F9" s="611"/>
      <c r="G9" s="635"/>
    </row>
    <row r="10" spans="1:32" x14ac:dyDescent="0.2">
      <c r="E10" s="229"/>
      <c r="F10" s="611"/>
      <c r="G10" s="237">
        <v>2</v>
      </c>
      <c r="J10" s="645" t="str">
        <f ca="1">IF(MAX($A$13:$A$32)&lt;CRONO.LinhasNecessarias,"ERRO: NÚMERO DE LINHAS DO CRONOGRAMA INSUFICIENTE. CLIQUE EM ATUALIZAR LINHAS.",IF(AND(ACOMPANHAMENTO="PLE",ROUND(OFFSET($AF$42,0,-1),2)=0),"CRONOGRAMA DEVE SER PREENCHIDO POR EVENTOS",IF(ROUND(OFFSET($AF$42,0,-1),2)&lt;&gt;$Q$33,"ERRO: CRONOGRAMA NÃO FECHA 100%","")))</f>
        <v>CRONOGRAMA DEVE SER PREENCHIDO POR EVENTOS</v>
      </c>
      <c r="K10" s="645"/>
      <c r="L10" s="645"/>
      <c r="M10" s="645"/>
      <c r="N10" s="645"/>
      <c r="O10" s="645"/>
      <c r="P10" s="645"/>
      <c r="Q10" s="645"/>
      <c r="R10" s="645"/>
      <c r="S10" s="645"/>
    </row>
    <row r="11" spans="1:32" ht="12.75" customHeight="1" x14ac:dyDescent="0.2">
      <c r="F11" s="611"/>
      <c r="H11" s="238"/>
      <c r="I11" s="238"/>
      <c r="J11" s="645"/>
      <c r="K11" s="645"/>
      <c r="L11" s="645"/>
      <c r="M11" s="645"/>
      <c r="N11" s="645"/>
      <c r="O11" s="645"/>
      <c r="P11" s="645"/>
      <c r="Q11" s="645"/>
      <c r="R11" s="645"/>
      <c r="S11" s="645"/>
    </row>
    <row r="12" spans="1:32" ht="12.75" customHeight="1" x14ac:dyDescent="0.2">
      <c r="D12" s="239">
        <f ca="1">OFFSET(D12,0,-1)+1</f>
        <v>1</v>
      </c>
      <c r="F12" s="108" t="s">
        <v>219</v>
      </c>
      <c r="G12" s="637" t="s">
        <v>276</v>
      </c>
      <c r="H12" s="638" t="s">
        <v>233</v>
      </c>
      <c r="I12" s="639" t="s">
        <v>236</v>
      </c>
      <c r="J12" s="240"/>
      <c r="K12" s="240"/>
      <c r="L12" s="241"/>
      <c r="M12" s="241"/>
      <c r="N12" s="241"/>
      <c r="O12" s="241"/>
      <c r="P12" s="241"/>
      <c r="Q12" s="241"/>
      <c r="R12" s="642" t="s">
        <v>277</v>
      </c>
      <c r="S12" s="643" t="s">
        <v>278</v>
      </c>
      <c r="T12" s="242">
        <v>1</v>
      </c>
      <c r="U12" s="239">
        <f ca="1">OFFSET(U12,0,-1)+1</f>
        <v>2</v>
      </c>
      <c r="V12" s="239">
        <f t="shared" ref="V12:AE12" ca="1" si="1">OFFSET(V12,0,-1)+1</f>
        <v>3</v>
      </c>
      <c r="W12" s="239">
        <f t="shared" ca="1" si="1"/>
        <v>4</v>
      </c>
      <c r="X12" s="239">
        <f t="shared" ca="1" si="1"/>
        <v>5</v>
      </c>
      <c r="Y12" s="239">
        <f t="shared" ca="1" si="1"/>
        <v>6</v>
      </c>
      <c r="Z12" s="239">
        <f t="shared" ca="1" si="1"/>
        <v>7</v>
      </c>
      <c r="AA12" s="239">
        <f t="shared" ca="1" si="1"/>
        <v>8</v>
      </c>
      <c r="AB12" s="239">
        <f t="shared" ca="1" si="1"/>
        <v>9</v>
      </c>
      <c r="AC12" s="239">
        <f t="shared" ca="1" si="1"/>
        <v>10</v>
      </c>
      <c r="AD12" s="239">
        <f t="shared" ca="1" si="1"/>
        <v>11</v>
      </c>
      <c r="AE12" s="243">
        <f t="shared" ca="1" si="1"/>
        <v>12</v>
      </c>
    </row>
    <row r="13" spans="1:32" ht="24.95" customHeight="1" x14ac:dyDescent="0.2">
      <c r="A13" s="244" t="s">
        <v>279</v>
      </c>
      <c r="B13" s="244" t="s">
        <v>171</v>
      </c>
      <c r="C13" s="244" t="s">
        <v>280</v>
      </c>
      <c r="D13" s="245" t="e">
        <f ca="1">OFFSET(D13,0,-1)+41-DAY(OFFSET(D13,0,-1)+40)</f>
        <v>#VALUE!</v>
      </c>
      <c r="E13" s="244" t="s">
        <v>281</v>
      </c>
      <c r="G13" s="637"/>
      <c r="H13" s="638"/>
      <c r="I13" s="639"/>
      <c r="J13" s="246"/>
      <c r="K13" s="246"/>
      <c r="L13" s="247" t="s">
        <v>231</v>
      </c>
      <c r="M13" s="247">
        <v>1</v>
      </c>
      <c r="N13" s="247">
        <v>2</v>
      </c>
      <c r="O13" s="247">
        <v>3</v>
      </c>
      <c r="P13" s="247">
        <v>4</v>
      </c>
      <c r="Q13" s="248" t="s">
        <v>282</v>
      </c>
      <c r="R13" s="642"/>
      <c r="S13" s="643"/>
      <c r="T13" s="249">
        <v>45505</v>
      </c>
      <c r="U13" s="245">
        <f ca="1">OFFSET(U13,0,-1)+41-DAY(OFFSET(U13,0,-1)+40)</f>
        <v>45536</v>
      </c>
      <c r="V13" s="245">
        <f ca="1">OFFSET(V13,0,-1)+41-DAY(OFFSET(V13,0,-1)+40)</f>
        <v>45566</v>
      </c>
      <c r="W13" s="245">
        <f t="shared" ref="W13:AE13" ca="1" si="2">OFFSET(W13,0,-1)+41-DAY(OFFSET(W13,0,-1)+40)</f>
        <v>45597</v>
      </c>
      <c r="X13" s="245">
        <f t="shared" ca="1" si="2"/>
        <v>45627</v>
      </c>
      <c r="Y13" s="245">
        <f t="shared" ca="1" si="2"/>
        <v>45658</v>
      </c>
      <c r="Z13" s="245">
        <f t="shared" ca="1" si="2"/>
        <v>45689</v>
      </c>
      <c r="AA13" s="245">
        <f t="shared" ca="1" si="2"/>
        <v>45717</v>
      </c>
      <c r="AB13" s="245">
        <f t="shared" ca="1" si="2"/>
        <v>45748</v>
      </c>
      <c r="AC13" s="245">
        <f t="shared" ca="1" si="2"/>
        <v>45778</v>
      </c>
      <c r="AD13" s="245">
        <f t="shared" ca="1" si="2"/>
        <v>45809</v>
      </c>
      <c r="AE13" s="250">
        <f t="shared" ca="1" si="2"/>
        <v>45839</v>
      </c>
    </row>
    <row r="14" spans="1:32" x14ac:dyDescent="0.2">
      <c r="A14" s="203">
        <f ca="1">OFFSET(A14,-3,0)+1</f>
        <v>1</v>
      </c>
      <c r="B14" s="203">
        <f ca="1">IF($Q14&lt;&gt;2,0,IF($R14=0,1,IF(E15&gt;0,OFFSET(QCI!$M$13,SUBSTITUTE(E15,".",""),0),OFFSET(ORÇAMENTO!$AA$15,CRONO!$E14,0))/$R14))</f>
        <v>0</v>
      </c>
      <c r="C14" s="203">
        <f ca="1">IF($Q14&lt;&gt;2,0,IF($R14=0,1,IF(E15&gt;0,OFFSET(QCI!$N$13,SUBSTITUTE(E15,".",""),0),OFFSET(ORÇAMENTO!$AB$15,CRONO!$E14,0))/$R14))</f>
        <v>0</v>
      </c>
      <c r="D14" s="206" t="e">
        <f ca="1">IF(AND($Q14=2,ACOMPANHAMENTO="BM"),D15,D16/$R14)</f>
        <v>#DIV/0!</v>
      </c>
      <c r="E14" s="203">
        <f ca="1">IF(A14&lt;=ORÇAMENTO.MáximoListaCrono,MATCH(A14,ORÇAMENTO.ListaCrono,0),NA())</f>
        <v>1</v>
      </c>
      <c r="F14" s="203" t="str">
        <f ca="1">IF(AND($E15&lt;&gt;-1,$R14&gt;0),"F","")</f>
        <v/>
      </c>
      <c r="G14" s="207" t="str">
        <f ca="1">IF(OR(R14=0,R14=""),"Linha",IF(AND(OR(ACOMPANHAMENTO="PLE",$Q14&lt;&gt;2),$E15=0),"Linha",1-SUM(T14:AF14)))</f>
        <v>Linha</v>
      </c>
      <c r="H14" s="208" t="str">
        <f ca="1">IF($E15=0,OFFSET(ORÇAMENTO!O$15,$E14,0),IF($E15&lt;&gt;-1,OFFSET(QCI!$D$13,$E15,0),""))</f>
        <v>1.</v>
      </c>
      <c r="I14" s="209" t="str">
        <f ca="1">IF($E15=0,OFFSET(ORÇAMENTO!R$15,$E14,0),IF($E15&lt;&gt;-1,OFFSET(QCI!$G$13,$E15,0),""))</f>
        <v>CALÇAMENTO RUA TOMÉ MEDEIROS</v>
      </c>
      <c r="J14" s="209"/>
      <c r="K14" s="209"/>
      <c r="L14" s="210">
        <f ca="1">IF($E15=0,OFFSET(ORÇAMENTO!C$15,$E14,0),1)</f>
        <v>1</v>
      </c>
      <c r="M14" s="211">
        <f ca="1">IF($E15=-1,0,IF(M$13&lt;=$L14,IF(ISERROR(MATCH(M$13,OFFSET($L14,1,0,ROW($L$32)-ROW($L14)-1),0)),ROW($L$32)-ROW($L14)-1,MATCH(M$13,OFFSET($L14,1,0,ROW($L$32)-ROW($L14)-1),0)-1),0))</f>
        <v>17</v>
      </c>
      <c r="N14" s="211">
        <f ca="1">IF($E15=-1,0,IF(N$13&lt;=$L14,IF(ISERROR(MATCH(N$13,OFFSET($L14,1,0,ROW($L$32)-ROW($L14)-1),0)),ROW($L$32)-ROW($L14)-1,MATCH(N$13,OFFSET($L14,1,0,ROW($L$32)-ROW($L14)-1),0)-1),0))</f>
        <v>0</v>
      </c>
      <c r="O14" s="211">
        <f ca="1">IF($E15=-1,0,IF(O$13&lt;=$L14,IF(ISERROR(MATCH(O$13,OFFSET($L14,1,0,ROW($L$32)-ROW($L14)-1),0)),ROW($L$32)-ROW($L14)-1,MATCH(O$13,OFFSET($L14,1,0,ROW($L$32)-ROW($L14)-1),0)-1),0))</f>
        <v>0</v>
      </c>
      <c r="P14" s="211">
        <f ca="1">IF($E15=-1,0,IF(P$13&lt;=$L14,IF(ISERROR(MATCH(P$13,OFFSET($L14,1,0,ROW($L$32)-ROW($L14)-1),0)),ROW($L$32)-ROW($L14)-1,MATCH(P$13,OFFSET($L14,1,0,ROW($L$32)-ROW($L14)-1),0)-1),0))</f>
        <v>0</v>
      </c>
      <c r="Q14" s="211">
        <f ca="1">MIN(OFFSET(L14,0,1,,L14))</f>
        <v>17</v>
      </c>
      <c r="R14" s="212">
        <f ca="1">IF($E15=0,OFFSET(ORÇAMENTO!X$15,$E14,0),IF($E15&lt;&gt;-1,OFFSET(QCI!$O$13,$E15,0),""))</f>
        <v>0</v>
      </c>
      <c r="S14" s="213" t="s">
        <v>272</v>
      </c>
      <c r="T14" s="214" t="e">
        <f t="shared" ref="T14:AE14" ca="1" si="3">IF(AND($Q14=2,ACOMPANHAMENTO="BM"),T15,T16/$R14)</f>
        <v>#DIV/0!</v>
      </c>
      <c r="U14" s="206" t="e">
        <f t="shared" ca="1" si="3"/>
        <v>#DIV/0!</v>
      </c>
      <c r="V14" s="206" t="e">
        <f t="shared" ca="1" si="3"/>
        <v>#DIV/0!</v>
      </c>
      <c r="W14" s="206" t="e">
        <f t="shared" ca="1" si="3"/>
        <v>#DIV/0!</v>
      </c>
      <c r="X14" s="206" t="e">
        <f t="shared" ca="1" si="3"/>
        <v>#DIV/0!</v>
      </c>
      <c r="Y14" s="206" t="e">
        <f t="shared" ca="1" si="3"/>
        <v>#DIV/0!</v>
      </c>
      <c r="Z14" s="206" t="e">
        <f t="shared" ca="1" si="3"/>
        <v>#DIV/0!</v>
      </c>
      <c r="AA14" s="206" t="e">
        <f t="shared" ca="1" si="3"/>
        <v>#DIV/0!</v>
      </c>
      <c r="AB14" s="206" t="e">
        <f t="shared" ca="1" si="3"/>
        <v>#DIV/0!</v>
      </c>
      <c r="AC14" s="206" t="e">
        <f t="shared" ca="1" si="3"/>
        <v>#DIV/0!</v>
      </c>
      <c r="AD14" s="206" t="e">
        <f t="shared" ca="1" si="3"/>
        <v>#DIV/0!</v>
      </c>
      <c r="AE14" s="215" t="e">
        <f t="shared" ca="1" si="3"/>
        <v>#DIV/0!</v>
      </c>
    </row>
    <row r="15" spans="1:32" ht="12.75" customHeight="1" x14ac:dyDescent="0.2">
      <c r="D15" s="569"/>
      <c r="E15" s="203">
        <f ca="1">IF(ISERROR(E14),IF(1+COUNTIF($L$13:OFFSET(L14,-1,0),1)&lt;=MAX(QCI!$D$13:$D$15),1+COUNTIF($L$13:OFFSET(L14,-1,0),1),-1),0)</f>
        <v>0</v>
      </c>
      <c r="F15" s="203" t="str">
        <f ca="1">IF(AND($E15&lt;&gt;-1,$R14&gt;0),"F","")</f>
        <v/>
      </c>
      <c r="G15" s="216" t="str">
        <f ca="1">IF(OR(R14=0,R14=""),"vazia",IF(AND(OR(ACOMPANHAMENTO="PLE",$Q14&lt;&gt;2),$E15=0),"calculada","--&gt;"))</f>
        <v>vazia</v>
      </c>
      <c r="H15" s="217"/>
      <c r="I15" s="218" t="str">
        <f ca="1">IF(AND(G14&lt;&gt;0,ISNUMBER(G14)),"PREENCHA ESTA LINHA --&gt;","")</f>
        <v/>
      </c>
      <c r="J15" s="218"/>
      <c r="K15" s="218"/>
      <c r="L15" s="219"/>
      <c r="M15" s="219"/>
      <c r="N15" s="219"/>
      <c r="O15" s="219"/>
      <c r="P15" s="219"/>
      <c r="Q15" s="219"/>
      <c r="R15" s="220"/>
      <c r="S15" s="221"/>
      <c r="T15" s="570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71"/>
      <c r="AF15" s="533"/>
    </row>
    <row r="16" spans="1:32" ht="0.2" hidden="1" customHeight="1" x14ac:dyDescent="0.2">
      <c r="D16" s="222">
        <f ca="1">IF($Q14=2,IF(AND(ACOMPANHAMENTO="PLE",ISNUMBER($E14)),SUMIF((OFFSET(CÁLCULO!$AM$15:$AW$15,$E14,0,OFFSET(ORÇAMENTO!$D$15,CRONO!$E14,0))),"="&amp;CRONO!D$12,OFFSET(CÁLCULO!$AB$15:$AL$15,$E14,0,OFFSET(ORÇAMENTO!$D$15,CRONO!$E14,0)))+IF(AND($E16&lt;&gt;"",$E16&lt;&gt;0),SUMIF(CÁLCULO!$AM$15:$AW$32,"="&amp;CRONO!D$12,CÁLCULO!$AB$15:$AL$32)/(ORÇAMENTO!$X$15-CÁLCULO.TotalAdmLocal)*CRONO!$E16,0),D15*$R14),SUMIF(OFFSET($R16,1,0,$Q14-2),($L14+1)&amp;"$",OFFSET(D16,1,0,$Q14-2)))</f>
        <v>0</v>
      </c>
      <c r="E16" s="203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23"/>
      <c r="R16" s="224" t="str">
        <f ca="1">L14&amp;"$"</f>
        <v>1$</v>
      </c>
      <c r="S16" s="225"/>
      <c r="T16" s="226">
        <f ca="1">IF($Q14=2,IF(AND(ACOMPANHAMENTO="PLE",ISNUMBER($E14)),SUMIF((OFFSET(CÁLCULO!$AM$15:$AW$15,$E14,0,OFFSET(ORÇAMENTO!$D$15,CRONO!$E14,0))),"&lt;="&amp;CRONO!T$12,OFFSET(CÁLCULO!$AB$15:$AL$15,$E14,0,OFFSET(ORÇAMENTO!$D$15,CRONO!$E14,0)))+IF(AND($E16&lt;&gt;"",$E16&lt;&gt;0),SUMIF(CÁLCULO!$AM$15:$AW$32,"&lt;="&amp;CRONO!T$12,CÁLCULO!$AB$15:$AL$32)/(ORÇAMENTO!$X$15-CÁLCULO.TotalAdmLocal)*CRONO!$E16,0),T15*$R14),SUMIF(OFFSET($R16,1,0,$Q14-2),($L14+1)&amp;"$",OFFSET(T16,1,0,$Q14-2)))</f>
        <v>0</v>
      </c>
      <c r="U16" s="222">
        <f ca="1">IF($Q14=2,IF(AND(ACOMPANHAMENTO="PLE",ISNUMBER($E14)),SUMIF((OFFSET(CÁLCULO!$AM$15:$AW$15,$E14,0,OFFSET(ORÇAMENTO!$D$15,CRONO!$E14,0))),"="&amp;CRONO!U$12,OFFSET(CÁLCULO!$AB$15:$AL$15,$E14,0,OFFSET(ORÇAMENTO!$D$15,CRONO!$E14,0)))+IF(AND($E16&lt;&gt;"",$E16&lt;&gt;0),SUMIF(CÁLCULO!$AM$15:$AW$32,"="&amp;CRONO!U$12,CÁLCULO!$AB$15:$AL$32)/(ORÇAMENTO!$X$15-CÁLCULO.TotalAdmLocal)*CRONO!$E16,0),U15*$R14),SUMIF(OFFSET($R16,1,0,$Q14-2),($L14+1)&amp;"$",OFFSET(U16,1,0,$Q14-2)))</f>
        <v>0</v>
      </c>
      <c r="V16" s="222">
        <f ca="1">IF($Q14=2,IF(AND(ACOMPANHAMENTO="PLE",ISNUMBER($E14)),SUMIF((OFFSET(CÁLCULO!$AM$15:$AW$15,$E14,0,OFFSET(ORÇAMENTO!$D$15,CRONO!$E14,0))),"="&amp;CRONO!V$12,OFFSET(CÁLCULO!$AB$15:$AL$15,$E14,0,OFFSET(ORÇAMENTO!$D$15,CRONO!$E14,0)))+IF(AND($E16&lt;&gt;"",$E16&lt;&gt;0),SUMIF(CÁLCULO!$AM$15:$AW$32,"="&amp;CRONO!V$12,CÁLCULO!$AB$15:$AL$32)/(ORÇAMENTO!$X$15-CÁLCULO.TotalAdmLocal)*CRONO!$E16,0),V15*$R14),SUMIF(OFFSET($R16,1,0,$Q14-2),($L14+1)&amp;"$",OFFSET(V16,1,0,$Q14-2)))</f>
        <v>0</v>
      </c>
      <c r="W16" s="222">
        <f ca="1">IF($Q14=2,IF(AND(ACOMPANHAMENTO="PLE",ISNUMBER($E14)),SUMIF((OFFSET(CÁLCULO!$AM$15:$AW$15,$E14,0,OFFSET(ORÇAMENTO!$D$15,CRONO!$E14,0))),"="&amp;CRONO!W$12,OFFSET(CÁLCULO!$AB$15:$AL$15,$E14,0,OFFSET(ORÇAMENTO!$D$15,CRONO!$E14,0)))+IF(AND($E16&lt;&gt;"",$E16&lt;&gt;0),SUMIF(CÁLCULO!$AM$15:$AW$32,"="&amp;CRONO!W$12,CÁLCULO!$AB$15:$AL$32)/(ORÇAMENTO!$X$15-CÁLCULO.TotalAdmLocal)*CRONO!$E16,0),W15*$R14),SUMIF(OFFSET($R16,1,0,$Q14-2),($L14+1)&amp;"$",OFFSET(W16,1,0,$Q14-2)))</f>
        <v>0</v>
      </c>
      <c r="X16" s="222">
        <f ca="1">IF($Q14=2,IF(AND(ACOMPANHAMENTO="PLE",ISNUMBER($E14)),SUMIF((OFFSET(CÁLCULO!$AM$15:$AW$15,$E14,0,OFFSET(ORÇAMENTO!$D$15,CRONO!$E14,0))),"="&amp;CRONO!X$12,OFFSET(CÁLCULO!$AB$15:$AL$15,$E14,0,OFFSET(ORÇAMENTO!$D$15,CRONO!$E14,0)))+IF(AND($E16&lt;&gt;"",$E16&lt;&gt;0),SUMIF(CÁLCULO!$AM$15:$AW$32,"="&amp;CRONO!X$12,CÁLCULO!$AB$15:$AL$32)/(ORÇAMENTO!$X$15-CÁLCULO.TotalAdmLocal)*CRONO!$E16,0),X15*$R14),SUMIF(OFFSET($R16,1,0,$Q14-2),($L14+1)&amp;"$",OFFSET(X16,1,0,$Q14-2)))</f>
        <v>0</v>
      </c>
      <c r="Y16" s="222">
        <f ca="1">IF($Q14=2,IF(AND(ACOMPANHAMENTO="PLE",ISNUMBER($E14)),SUMIF((OFFSET(CÁLCULO!$AM$15:$AW$15,$E14,0,OFFSET(ORÇAMENTO!$D$15,CRONO!$E14,0))),"="&amp;CRONO!Y$12,OFFSET(CÁLCULO!$AB$15:$AL$15,$E14,0,OFFSET(ORÇAMENTO!$D$15,CRONO!$E14,0)))+IF(AND($E16&lt;&gt;"",$E16&lt;&gt;0),SUMIF(CÁLCULO!$AM$15:$AW$32,"="&amp;CRONO!Y$12,CÁLCULO!$AB$15:$AL$32)/(ORÇAMENTO!$X$15-CÁLCULO.TotalAdmLocal)*CRONO!$E16,0),Y15*$R14),SUMIF(OFFSET($R16,1,0,$Q14-2),($L14+1)&amp;"$",OFFSET(Y16,1,0,$Q14-2)))</f>
        <v>0</v>
      </c>
      <c r="Z16" s="222">
        <f ca="1">IF($Q14=2,IF(AND(ACOMPANHAMENTO="PLE",ISNUMBER($E14)),SUMIF((OFFSET(CÁLCULO!$AM$15:$AW$15,$E14,0,OFFSET(ORÇAMENTO!$D$15,CRONO!$E14,0))),"="&amp;CRONO!Z$12,OFFSET(CÁLCULO!$AB$15:$AL$15,$E14,0,OFFSET(ORÇAMENTO!$D$15,CRONO!$E14,0)))+IF(AND($E16&lt;&gt;"",$E16&lt;&gt;0),SUMIF(CÁLCULO!$AM$15:$AW$32,"="&amp;CRONO!Z$12,CÁLCULO!$AB$15:$AL$32)/(ORÇAMENTO!$X$15-CÁLCULO.TotalAdmLocal)*CRONO!$E16,0),Z15*$R14),SUMIF(OFFSET($R16,1,0,$Q14-2),($L14+1)&amp;"$",OFFSET(Z16,1,0,$Q14-2)))</f>
        <v>0</v>
      </c>
      <c r="AA16" s="222">
        <f ca="1">IF($Q14=2,IF(AND(ACOMPANHAMENTO="PLE",ISNUMBER($E14)),SUMIF((OFFSET(CÁLCULO!$AM$15:$AW$15,$E14,0,OFFSET(ORÇAMENTO!$D$15,CRONO!$E14,0))),"="&amp;CRONO!AA$12,OFFSET(CÁLCULO!$AB$15:$AL$15,$E14,0,OFFSET(ORÇAMENTO!$D$15,CRONO!$E14,0)))+IF(AND($E16&lt;&gt;"",$E16&lt;&gt;0),SUMIF(CÁLCULO!$AM$15:$AW$32,"="&amp;CRONO!AA$12,CÁLCULO!$AB$15:$AL$32)/(ORÇAMENTO!$X$15-CÁLCULO.TotalAdmLocal)*CRONO!$E16,0),AA15*$R14),SUMIF(OFFSET($R16,1,0,$Q14-2),($L14+1)&amp;"$",OFFSET(AA16,1,0,$Q14-2)))</f>
        <v>0</v>
      </c>
      <c r="AB16" s="222">
        <f ca="1">IF($Q14=2,IF(AND(ACOMPANHAMENTO="PLE",ISNUMBER($E14)),SUMIF((OFFSET(CÁLCULO!$AM$15:$AW$15,$E14,0,OFFSET(ORÇAMENTO!$D$15,CRONO!$E14,0))),"="&amp;CRONO!AB$12,OFFSET(CÁLCULO!$AB$15:$AL$15,$E14,0,OFFSET(ORÇAMENTO!$D$15,CRONO!$E14,0)))+IF(AND($E16&lt;&gt;"",$E16&lt;&gt;0),SUMIF(CÁLCULO!$AM$15:$AW$32,"="&amp;CRONO!AB$12,CÁLCULO!$AB$15:$AL$32)/(ORÇAMENTO!$X$15-CÁLCULO.TotalAdmLocal)*CRONO!$E16,0),AB15*$R14),SUMIF(OFFSET($R16,1,0,$Q14-2),($L14+1)&amp;"$",OFFSET(AB16,1,0,$Q14-2)))</f>
        <v>0</v>
      </c>
      <c r="AC16" s="222">
        <f ca="1">IF($Q14=2,IF(AND(ACOMPANHAMENTO="PLE",ISNUMBER($E14)),SUMIF((OFFSET(CÁLCULO!$AM$15:$AW$15,$E14,0,OFFSET(ORÇAMENTO!$D$15,CRONO!$E14,0))),"="&amp;CRONO!AC$12,OFFSET(CÁLCULO!$AB$15:$AL$15,$E14,0,OFFSET(ORÇAMENTO!$D$15,CRONO!$E14,0)))+IF(AND($E16&lt;&gt;"",$E16&lt;&gt;0),SUMIF(CÁLCULO!$AM$15:$AW$32,"="&amp;CRONO!AC$12,CÁLCULO!$AB$15:$AL$32)/(ORÇAMENTO!$X$15-CÁLCULO.TotalAdmLocal)*CRONO!$E16,0),AC15*$R14),SUMIF(OFFSET($R16,1,0,$Q14-2),($L14+1)&amp;"$",OFFSET(AC16,1,0,$Q14-2)))</f>
        <v>0</v>
      </c>
      <c r="AD16" s="222">
        <f ca="1">IF($Q14=2,IF(AND(ACOMPANHAMENTO="PLE",ISNUMBER($E14)),SUMIF((OFFSET(CÁLCULO!$AM$15:$AW$15,$E14,0,OFFSET(ORÇAMENTO!$D$15,CRONO!$E14,0))),"="&amp;CRONO!AD$12,OFFSET(CÁLCULO!$AB$15:$AL$15,$E14,0,OFFSET(ORÇAMENTO!$D$15,CRONO!$E14,0)))+IF(AND($E16&lt;&gt;"",$E16&lt;&gt;0),SUMIF(CÁLCULO!$AM$15:$AW$32,"="&amp;CRONO!AD$12,CÁLCULO!$AB$15:$AL$32)/(ORÇAMENTO!$X$15-CÁLCULO.TotalAdmLocal)*CRONO!$E16,0),AD15*$R14),SUMIF(OFFSET($R16,1,0,$Q14-2),($L14+1)&amp;"$",OFFSET(AD16,1,0,$Q14-2)))</f>
        <v>0</v>
      </c>
      <c r="AE16" s="227">
        <f ca="1">IF($Q14=2,IF(AND(ACOMPANHAMENTO="PLE",ISNUMBER($E14)),SUMIF((OFFSET(CÁLCULO!$AM$15:$AW$15,$E14,0,OFFSET(ORÇAMENTO!$D$15,CRONO!$E14,0))),"="&amp;CRONO!AE$12,OFFSET(CÁLCULO!$AB$15:$AL$15,$E14,0,OFFSET(ORÇAMENTO!$D$15,CRONO!$E14,0)))+IF(AND($E16&lt;&gt;"",$E16&lt;&gt;0),SUMIF(CÁLCULO!$AM$15:$AW$32,"="&amp;CRONO!AE$12,CÁLCULO!$AB$15:$AL$32)/(ORÇAMENTO!$X$15-CÁLCULO.TotalAdmLocal)*CRONO!$E16,0),AE15*$R14),SUMIF(OFFSET($R16,1,0,$Q14-2),($L14+1)&amp;"$",OFFSET(AE16,1,0,$Q14-2)))</f>
        <v>0</v>
      </c>
    </row>
    <row r="17" spans="1:32" x14ac:dyDescent="0.2">
      <c r="A17" s="203">
        <f ca="1">OFFSET(A17,-3,0)+1</f>
        <v>2</v>
      </c>
      <c r="B17" s="203">
        <f ca="1">IF($Q17&lt;&gt;2,0,IF($R17=0,1,IF(E18&gt;0,OFFSET(QCI!$M$13,SUBSTITUTE(E18,".",""),0),OFFSET(ORÇAMENTO!$AA$15,CRONO!$E17,0))/$R17))</f>
        <v>1</v>
      </c>
      <c r="C17" s="203">
        <f ca="1">IF($Q17&lt;&gt;2,0,IF($R17=0,1,IF(E18&gt;0,OFFSET(QCI!$N$13,SUBSTITUTE(E18,".",""),0),OFFSET(ORÇAMENTO!$AB$15,CRONO!$E17,0))/$R17))</f>
        <v>1</v>
      </c>
      <c r="D17" s="206" t="e">
        <f ca="1">IF(AND($Q17=2,ACOMPANHAMENTO="BM"),D18,D19/$R17)</f>
        <v>#DIV/0!</v>
      </c>
      <c r="E17" s="203">
        <f ca="1">IF(A17&lt;=ORÇAMENTO.MáximoListaCrono,MATCH(A17,ORÇAMENTO.ListaCrono,0),NA())</f>
        <v>2</v>
      </c>
      <c r="F17" s="203" t="str">
        <f ca="1">IF(AND($E18&lt;&gt;-1,$R17&gt;0),"F","")</f>
        <v/>
      </c>
      <c r="G17" s="207" t="str">
        <f ca="1">IF(OR(R17=0,R17=""),"Linha",IF(AND(OR(ACOMPANHAMENTO="PLE",$Q17&lt;&gt;2),$E18=0),"Linha",1-SUM(T17:AF17)))</f>
        <v>Linha</v>
      </c>
      <c r="H17" s="208" t="str">
        <f ca="1">IF($E18=0,OFFSET(ORÇAMENTO!O$15,$E17,0),IF($E18&lt;&gt;-1,OFFSET(QCI!$D$13,$E18,0),""))</f>
        <v>1.1.</v>
      </c>
      <c r="I17" s="209" t="str">
        <f ca="1">IF($E18=0,OFFSET(ORÇAMENTO!R$15,$E17,0),IF($E18&lt;&gt;-1,OFFSET(QCI!$G$13,$E18,0),""))</f>
        <v>ADMINISTRAÇÃO LOCAL</v>
      </c>
      <c r="J17" s="209"/>
      <c r="K17" s="209"/>
      <c r="L17" s="210">
        <f ca="1">IF($E18=0,OFFSET(ORÇAMENTO!C$15,$E17,0),1)</f>
        <v>2</v>
      </c>
      <c r="M17" s="211">
        <f ca="1">IF($E18=-1,0,IF(M$13&lt;=$L17,IF(ISERROR(MATCH(M$13,OFFSET($L17,1,0,ROW($L$32)-ROW($L17)-1),0)),ROW($L$32)-ROW($L17)-1,MATCH(M$13,OFFSET($L17,1,0,ROW($L$32)-ROW($L17)-1),0)-1),0))</f>
        <v>14</v>
      </c>
      <c r="N17" s="211">
        <f ca="1">IF($E18=-1,0,IF(N$13&lt;=$L17,IF(ISERROR(MATCH(N$13,OFFSET($L17,1,0,ROW($L$32)-ROW($L17)-1),0)),ROW($L$32)-ROW($L17)-1,MATCH(N$13,OFFSET($L17,1,0,ROW($L$32)-ROW($L17)-1),0)-1),0))</f>
        <v>2</v>
      </c>
      <c r="O17" s="211">
        <f ca="1">IF($E18=-1,0,IF(O$13&lt;=$L17,IF(ISERROR(MATCH(O$13,OFFSET($L17,1,0,ROW($L$32)-ROW($L17)-1),0)),ROW($L$32)-ROW($L17)-1,MATCH(O$13,OFFSET($L17,1,0,ROW($L$32)-ROW($L17)-1),0)-1),0))</f>
        <v>0</v>
      </c>
      <c r="P17" s="211">
        <f ca="1">IF($E18=-1,0,IF(P$13&lt;=$L17,IF(ISERROR(MATCH(P$13,OFFSET($L17,1,0,ROW($L$32)-ROW($L17)-1),0)),ROW($L$32)-ROW($L17)-1,MATCH(P$13,OFFSET($L17,1,0,ROW($L$32)-ROW($L17)-1),0)-1),0))</f>
        <v>0</v>
      </c>
      <c r="Q17" s="211">
        <f ca="1">MIN(OFFSET(L17,0,1,,L17))</f>
        <v>2</v>
      </c>
      <c r="R17" s="212">
        <f ca="1">IF($E18=0,OFFSET(ORÇAMENTO!X$15,$E17,0),IF($E18&lt;&gt;-1,OFFSET(QCI!$O$13,$E18,0),""))</f>
        <v>0</v>
      </c>
      <c r="S17" s="213" t="s">
        <v>272</v>
      </c>
      <c r="T17" s="214" t="e">
        <f t="shared" ref="T17:AE17" ca="1" si="4">IF(AND($Q17=2,ACOMPANHAMENTO="BM"),T18,T19/$R17)</f>
        <v>#DIV/0!</v>
      </c>
      <c r="U17" s="206" t="e">
        <f t="shared" ca="1" si="4"/>
        <v>#DIV/0!</v>
      </c>
      <c r="V17" s="206" t="e">
        <f t="shared" ca="1" si="4"/>
        <v>#DIV/0!</v>
      </c>
      <c r="W17" s="206" t="e">
        <f t="shared" ca="1" si="4"/>
        <v>#DIV/0!</v>
      </c>
      <c r="X17" s="206" t="e">
        <f t="shared" ca="1" si="4"/>
        <v>#DIV/0!</v>
      </c>
      <c r="Y17" s="206" t="e">
        <f t="shared" ca="1" si="4"/>
        <v>#DIV/0!</v>
      </c>
      <c r="Z17" s="206" t="e">
        <f t="shared" ca="1" si="4"/>
        <v>#DIV/0!</v>
      </c>
      <c r="AA17" s="206" t="e">
        <f t="shared" ca="1" si="4"/>
        <v>#DIV/0!</v>
      </c>
      <c r="AB17" s="206" t="e">
        <f t="shared" ca="1" si="4"/>
        <v>#DIV/0!</v>
      </c>
      <c r="AC17" s="206" t="e">
        <f t="shared" ca="1" si="4"/>
        <v>#DIV/0!</v>
      </c>
      <c r="AD17" s="206" t="e">
        <f t="shared" ca="1" si="4"/>
        <v>#DIV/0!</v>
      </c>
      <c r="AE17" s="215" t="e">
        <f t="shared" ca="1" si="4"/>
        <v>#DIV/0!</v>
      </c>
    </row>
    <row r="18" spans="1:32" ht="12.75" customHeight="1" x14ac:dyDescent="0.2">
      <c r="D18" s="569"/>
      <c r="E18" s="203">
        <f ca="1">IF(ISERROR(E17),IF(1+COUNTIF($L$13:OFFSET(L17,-1,0),1)&lt;=MAX(QCI!$D$13:$D$15),1+COUNTIF($L$13:OFFSET(L17,-1,0),1),-1),0)</f>
        <v>0</v>
      </c>
      <c r="F18" s="203" t="str">
        <f ca="1">IF(AND($E18&lt;&gt;-1,$R17&gt;0),"F","")</f>
        <v/>
      </c>
      <c r="G18" s="216" t="str">
        <f ca="1">IF(OR(R17=0,R17=""),"vazia",IF(AND(OR(ACOMPANHAMENTO="PLE",$Q17&lt;&gt;2),$E18=0),"calculada","--&gt;"))</f>
        <v>vazia</v>
      </c>
      <c r="H18" s="217"/>
      <c r="I18" s="218" t="str">
        <f ca="1">IF(AND(G17&lt;&gt;0,ISNUMBER(G17)),"PREENCHA ESTA LINHA --&gt;","")</f>
        <v/>
      </c>
      <c r="J18" s="218"/>
      <c r="K18" s="218"/>
      <c r="L18" s="219"/>
      <c r="M18" s="219"/>
      <c r="N18" s="219"/>
      <c r="O18" s="219"/>
      <c r="P18" s="219"/>
      <c r="Q18" s="219"/>
      <c r="R18" s="220"/>
      <c r="S18" s="221"/>
      <c r="T18" s="570">
        <v>6.5000000000000002E-2</v>
      </c>
      <c r="U18" s="569">
        <v>6.5000000000000002E-2</v>
      </c>
      <c r="V18" s="569">
        <v>6.5000000000000002E-2</v>
      </c>
      <c r="W18" s="569">
        <v>6.5000000000000002E-2</v>
      </c>
      <c r="X18" s="569">
        <v>0.1057</v>
      </c>
      <c r="Y18" s="569">
        <v>0.1057</v>
      </c>
      <c r="Z18" s="569">
        <v>0.1057</v>
      </c>
      <c r="AA18" s="569">
        <v>0.1057</v>
      </c>
      <c r="AB18" s="569">
        <v>0.1057</v>
      </c>
      <c r="AC18" s="569">
        <v>0.1057</v>
      </c>
      <c r="AD18" s="569">
        <v>0.10580000000000001</v>
      </c>
      <c r="AE18" s="571"/>
      <c r="AF18" s="533"/>
    </row>
    <row r="19" spans="1:32" ht="0.2" hidden="1" customHeight="1" x14ac:dyDescent="0.2">
      <c r="D19" s="222">
        <f ca="1">IF($Q17=2,IF(AND(ACOMPANHAMENTO="PLE",ISNUMBER($E17)),SUMIF((OFFSET(CÁLCULO!$AM$15:$AW$15,$E17,0,OFFSET(ORÇAMENTO!$D$15,CRONO!$E17,0))),"="&amp;CRONO!D$12,OFFSET(CÁLCULO!$AB$15:$AL$15,$E17,0,OFFSET(ORÇAMENTO!$D$15,CRONO!$E17,0)))+IF(AND($E19&lt;&gt;"",$E19&lt;&gt;0),SUMIF(CÁLCULO!$AM$15:$AW$32,"="&amp;CRONO!D$12,CÁLCULO!$AB$15:$AL$32)/(ORÇAMENTO!$X$15-CÁLCULO.TotalAdmLocal)*CRONO!$E19,0),D18*$R17),SUMIF(OFFSET($R19,1,0,$Q17-2),($L17+1)&amp;"$",OFFSET(D19,1,0,$Q17-2)))</f>
        <v>0</v>
      </c>
      <c r="E19" s="203">
        <f ca="1">IF(OR($Q17&lt;&gt;2,AUTOEVENTO&lt;&gt;"manual",$E18&gt;0),"",SUMIF(OFFSET(CÁLCULO!$M$15,CRONO!$E17,0,OFFSET(ORÇAMENTO!$D$15,CRONO!$E17,0)),1,OFFSET(ORÇAMENTO!$X$15,CRONO!$E17,0,OFFSET(ORÇAMENTO!$D$15,CRONO!$E17,0))))</f>
        <v>0</v>
      </c>
      <c r="G19" s="223"/>
      <c r="R19" s="224" t="str">
        <f ca="1">L17&amp;"$"</f>
        <v>2$</v>
      </c>
      <c r="S19" s="225"/>
      <c r="T19" s="226">
        <f ca="1">IF($Q17=2,IF(AND(ACOMPANHAMENTO="PLE",ISNUMBER($E17)),SUMIF((OFFSET(CÁLCULO!$AM$15:$AW$15,$E17,0,OFFSET(ORÇAMENTO!$D$15,CRONO!$E17,0))),"&lt;="&amp;CRONO!T$12,OFFSET(CÁLCULO!$AB$15:$AL$15,$E17,0,OFFSET(ORÇAMENTO!$D$15,CRONO!$E17,0)))+IF(AND($E19&lt;&gt;"",$E19&lt;&gt;0),SUMIF(CÁLCULO!$AM$15:$AW$32,"&lt;="&amp;CRONO!T$12,CÁLCULO!$AB$15:$AL$32)/(ORÇAMENTO!$X$15-CÁLCULO.TotalAdmLocal)*CRONO!$E19,0),T18*$R17),SUMIF(OFFSET($R19,1,0,$Q17-2),($L17+1)&amp;"$",OFFSET(T19,1,0,$Q17-2)))</f>
        <v>0</v>
      </c>
      <c r="U19" s="222">
        <f ca="1">IF($Q17=2,IF(AND(ACOMPANHAMENTO="PLE",ISNUMBER($E17)),SUMIF((OFFSET(CÁLCULO!$AM$15:$AW$15,$E17,0,OFFSET(ORÇAMENTO!$D$15,CRONO!$E17,0))),"="&amp;CRONO!U$12,OFFSET(CÁLCULO!$AB$15:$AL$15,$E17,0,OFFSET(ORÇAMENTO!$D$15,CRONO!$E17,0)))+IF(AND($E19&lt;&gt;"",$E19&lt;&gt;0),SUMIF(CÁLCULO!$AM$15:$AW$32,"="&amp;CRONO!U$12,CÁLCULO!$AB$15:$AL$32)/(ORÇAMENTO!$X$15-CÁLCULO.TotalAdmLocal)*CRONO!$E19,0),U18*$R17),SUMIF(OFFSET($R19,1,0,$Q17-2),($L17+1)&amp;"$",OFFSET(U19,1,0,$Q17-2)))</f>
        <v>0</v>
      </c>
      <c r="V19" s="222">
        <f ca="1">IF($Q17=2,IF(AND(ACOMPANHAMENTO="PLE",ISNUMBER($E17)),SUMIF((OFFSET(CÁLCULO!$AM$15:$AW$15,$E17,0,OFFSET(ORÇAMENTO!$D$15,CRONO!$E17,0))),"="&amp;CRONO!V$12,OFFSET(CÁLCULO!$AB$15:$AL$15,$E17,0,OFFSET(ORÇAMENTO!$D$15,CRONO!$E17,0)))+IF(AND($E19&lt;&gt;"",$E19&lt;&gt;0),SUMIF(CÁLCULO!$AM$15:$AW$32,"="&amp;CRONO!V$12,CÁLCULO!$AB$15:$AL$32)/(ORÇAMENTO!$X$15-CÁLCULO.TotalAdmLocal)*CRONO!$E19,0),V18*$R17),SUMIF(OFFSET($R19,1,0,$Q17-2),($L17+1)&amp;"$",OFFSET(V19,1,0,$Q17-2)))</f>
        <v>0</v>
      </c>
      <c r="W19" s="222">
        <f ca="1">IF($Q17=2,IF(AND(ACOMPANHAMENTO="PLE",ISNUMBER($E17)),SUMIF((OFFSET(CÁLCULO!$AM$15:$AW$15,$E17,0,OFFSET(ORÇAMENTO!$D$15,CRONO!$E17,0))),"="&amp;CRONO!W$12,OFFSET(CÁLCULO!$AB$15:$AL$15,$E17,0,OFFSET(ORÇAMENTO!$D$15,CRONO!$E17,0)))+IF(AND($E19&lt;&gt;"",$E19&lt;&gt;0),SUMIF(CÁLCULO!$AM$15:$AW$32,"="&amp;CRONO!W$12,CÁLCULO!$AB$15:$AL$32)/(ORÇAMENTO!$X$15-CÁLCULO.TotalAdmLocal)*CRONO!$E19,0),W18*$R17),SUMIF(OFFSET($R19,1,0,$Q17-2),($L17+1)&amp;"$",OFFSET(W19,1,0,$Q17-2)))</f>
        <v>0</v>
      </c>
      <c r="X19" s="222">
        <f ca="1">IF($Q17=2,IF(AND(ACOMPANHAMENTO="PLE",ISNUMBER($E17)),SUMIF((OFFSET(CÁLCULO!$AM$15:$AW$15,$E17,0,OFFSET(ORÇAMENTO!$D$15,CRONO!$E17,0))),"="&amp;CRONO!X$12,OFFSET(CÁLCULO!$AB$15:$AL$15,$E17,0,OFFSET(ORÇAMENTO!$D$15,CRONO!$E17,0)))+IF(AND($E19&lt;&gt;"",$E19&lt;&gt;0),SUMIF(CÁLCULO!$AM$15:$AW$32,"="&amp;CRONO!X$12,CÁLCULO!$AB$15:$AL$32)/(ORÇAMENTO!$X$15-CÁLCULO.TotalAdmLocal)*CRONO!$E19,0),X18*$R17),SUMIF(OFFSET($R19,1,0,$Q17-2),($L17+1)&amp;"$",OFFSET(X19,1,0,$Q17-2)))</f>
        <v>0</v>
      </c>
      <c r="Y19" s="222">
        <f ca="1">IF($Q17=2,IF(AND(ACOMPANHAMENTO="PLE",ISNUMBER($E17)),SUMIF((OFFSET(CÁLCULO!$AM$15:$AW$15,$E17,0,OFFSET(ORÇAMENTO!$D$15,CRONO!$E17,0))),"="&amp;CRONO!Y$12,OFFSET(CÁLCULO!$AB$15:$AL$15,$E17,0,OFFSET(ORÇAMENTO!$D$15,CRONO!$E17,0)))+IF(AND($E19&lt;&gt;"",$E19&lt;&gt;0),SUMIF(CÁLCULO!$AM$15:$AW$32,"="&amp;CRONO!Y$12,CÁLCULO!$AB$15:$AL$32)/(ORÇAMENTO!$X$15-CÁLCULO.TotalAdmLocal)*CRONO!$E19,0),Y18*$R17),SUMIF(OFFSET($R19,1,0,$Q17-2),($L17+1)&amp;"$",OFFSET(Y19,1,0,$Q17-2)))</f>
        <v>0</v>
      </c>
      <c r="Z19" s="222">
        <f ca="1">IF($Q17=2,IF(AND(ACOMPANHAMENTO="PLE",ISNUMBER($E17)),SUMIF((OFFSET(CÁLCULO!$AM$15:$AW$15,$E17,0,OFFSET(ORÇAMENTO!$D$15,CRONO!$E17,0))),"="&amp;CRONO!Z$12,OFFSET(CÁLCULO!$AB$15:$AL$15,$E17,0,OFFSET(ORÇAMENTO!$D$15,CRONO!$E17,0)))+IF(AND($E19&lt;&gt;"",$E19&lt;&gt;0),SUMIF(CÁLCULO!$AM$15:$AW$32,"="&amp;CRONO!Z$12,CÁLCULO!$AB$15:$AL$32)/(ORÇAMENTO!$X$15-CÁLCULO.TotalAdmLocal)*CRONO!$E19,0),Z18*$R17),SUMIF(OFFSET($R19,1,0,$Q17-2),($L17+1)&amp;"$",OFFSET(Z19,1,0,$Q17-2)))</f>
        <v>0</v>
      </c>
      <c r="AA19" s="222">
        <f ca="1">IF($Q17=2,IF(AND(ACOMPANHAMENTO="PLE",ISNUMBER($E17)),SUMIF((OFFSET(CÁLCULO!$AM$15:$AW$15,$E17,0,OFFSET(ORÇAMENTO!$D$15,CRONO!$E17,0))),"="&amp;CRONO!AA$12,OFFSET(CÁLCULO!$AB$15:$AL$15,$E17,0,OFFSET(ORÇAMENTO!$D$15,CRONO!$E17,0)))+IF(AND($E19&lt;&gt;"",$E19&lt;&gt;0),SUMIF(CÁLCULO!$AM$15:$AW$32,"="&amp;CRONO!AA$12,CÁLCULO!$AB$15:$AL$32)/(ORÇAMENTO!$X$15-CÁLCULO.TotalAdmLocal)*CRONO!$E19,0),AA18*$R17),SUMIF(OFFSET($R19,1,0,$Q17-2),($L17+1)&amp;"$",OFFSET(AA19,1,0,$Q17-2)))</f>
        <v>0</v>
      </c>
      <c r="AB19" s="222">
        <f ca="1">IF($Q17=2,IF(AND(ACOMPANHAMENTO="PLE",ISNUMBER($E17)),SUMIF((OFFSET(CÁLCULO!$AM$15:$AW$15,$E17,0,OFFSET(ORÇAMENTO!$D$15,CRONO!$E17,0))),"="&amp;CRONO!AB$12,OFFSET(CÁLCULO!$AB$15:$AL$15,$E17,0,OFFSET(ORÇAMENTO!$D$15,CRONO!$E17,0)))+IF(AND($E19&lt;&gt;"",$E19&lt;&gt;0),SUMIF(CÁLCULO!$AM$15:$AW$32,"="&amp;CRONO!AB$12,CÁLCULO!$AB$15:$AL$32)/(ORÇAMENTO!$X$15-CÁLCULO.TotalAdmLocal)*CRONO!$E19,0),AB18*$R17),SUMIF(OFFSET($R19,1,0,$Q17-2),($L17+1)&amp;"$",OFFSET(AB19,1,0,$Q17-2)))</f>
        <v>0</v>
      </c>
      <c r="AC19" s="222">
        <f ca="1">IF($Q17=2,IF(AND(ACOMPANHAMENTO="PLE",ISNUMBER($E17)),SUMIF((OFFSET(CÁLCULO!$AM$15:$AW$15,$E17,0,OFFSET(ORÇAMENTO!$D$15,CRONO!$E17,0))),"="&amp;CRONO!AC$12,OFFSET(CÁLCULO!$AB$15:$AL$15,$E17,0,OFFSET(ORÇAMENTO!$D$15,CRONO!$E17,0)))+IF(AND($E19&lt;&gt;"",$E19&lt;&gt;0),SUMIF(CÁLCULO!$AM$15:$AW$32,"="&amp;CRONO!AC$12,CÁLCULO!$AB$15:$AL$32)/(ORÇAMENTO!$X$15-CÁLCULO.TotalAdmLocal)*CRONO!$E19,0),AC18*$R17),SUMIF(OFFSET($R19,1,0,$Q17-2),($L17+1)&amp;"$",OFFSET(AC19,1,0,$Q17-2)))</f>
        <v>0</v>
      </c>
      <c r="AD19" s="222">
        <f ca="1">IF($Q17=2,IF(AND(ACOMPANHAMENTO="PLE",ISNUMBER($E17)),SUMIF((OFFSET(CÁLCULO!$AM$15:$AW$15,$E17,0,OFFSET(ORÇAMENTO!$D$15,CRONO!$E17,0))),"="&amp;CRONO!AD$12,OFFSET(CÁLCULO!$AB$15:$AL$15,$E17,0,OFFSET(ORÇAMENTO!$D$15,CRONO!$E17,0)))+IF(AND($E19&lt;&gt;"",$E19&lt;&gt;0),SUMIF(CÁLCULO!$AM$15:$AW$32,"="&amp;CRONO!AD$12,CÁLCULO!$AB$15:$AL$32)/(ORÇAMENTO!$X$15-CÁLCULO.TotalAdmLocal)*CRONO!$E19,0),AD18*$R17),SUMIF(OFFSET($R19,1,0,$Q17-2),($L17+1)&amp;"$",OFFSET(AD19,1,0,$Q17-2)))</f>
        <v>0</v>
      </c>
      <c r="AE19" s="227">
        <f ca="1">IF($Q17=2,IF(AND(ACOMPANHAMENTO="PLE",ISNUMBER($E17)),SUMIF((OFFSET(CÁLCULO!$AM$15:$AW$15,$E17,0,OFFSET(ORÇAMENTO!$D$15,CRONO!$E17,0))),"="&amp;CRONO!AE$12,OFFSET(CÁLCULO!$AB$15:$AL$15,$E17,0,OFFSET(ORÇAMENTO!$D$15,CRONO!$E17,0)))+IF(AND($E19&lt;&gt;"",$E19&lt;&gt;0),SUMIF(CÁLCULO!$AM$15:$AW$32,"="&amp;CRONO!AE$12,CÁLCULO!$AB$15:$AL$32)/(ORÇAMENTO!$X$15-CÁLCULO.TotalAdmLocal)*CRONO!$E19,0),AE18*$R17),SUMIF(OFFSET($R19,1,0,$Q17-2),($L17+1)&amp;"$",OFFSET(AE19,1,0,$Q17-2)))</f>
        <v>0</v>
      </c>
    </row>
    <row r="20" spans="1:32" x14ac:dyDescent="0.2">
      <c r="A20" s="203">
        <f ca="1">OFFSET(A20,-3,0)+1</f>
        <v>3</v>
      </c>
      <c r="B20" s="203">
        <f ca="1">IF($Q20&lt;&gt;2,0,IF($R20=0,1,IF(E21&gt;0,OFFSET(QCI!$M$13,SUBSTITUTE(E21,".",""),0),OFFSET(ORÇAMENTO!$AA$15,CRONO!$E20,0))/$R20))</f>
        <v>1</v>
      </c>
      <c r="C20" s="203">
        <f ca="1">IF($Q20&lt;&gt;2,0,IF($R20=0,1,IF(E21&gt;0,OFFSET(QCI!$N$13,SUBSTITUTE(E21,".",""),0),OFFSET(ORÇAMENTO!$AB$15,CRONO!$E20,0))/$R20))</f>
        <v>1</v>
      </c>
      <c r="D20" s="206" t="e">
        <f ca="1">IF(AND($Q20=2,ACOMPANHAMENTO="BM"),D21,D22/$R20)</f>
        <v>#DIV/0!</v>
      </c>
      <c r="E20" s="203">
        <f ca="1">IF(A20&lt;=ORÇAMENTO.MáximoListaCrono,MATCH(A20,ORÇAMENTO.ListaCrono,0),NA())</f>
        <v>4</v>
      </c>
      <c r="F20" s="203" t="str">
        <f ca="1">IF(AND($E21&lt;&gt;-1,$R20&gt;0),"F","")</f>
        <v/>
      </c>
      <c r="G20" s="207" t="str">
        <f ca="1">IF(OR(R20=0,R20=""),"Linha",IF(AND(OR(ACOMPANHAMENTO="PLE",$Q20&lt;&gt;2),$E21=0),"Linha",1-SUM(T20:AF20)))</f>
        <v>Linha</v>
      </c>
      <c r="H20" s="208" t="str">
        <f ca="1">IF($E21=0,OFFSET(ORÇAMENTO!O$15,$E20,0),IF($E21&lt;&gt;-1,OFFSET(QCI!$D$13,$E21,0),""))</f>
        <v>1.2.</v>
      </c>
      <c r="I20" s="209" t="str">
        <f ca="1">IF($E21=0,OFFSET(ORÇAMENTO!R$15,$E20,0),IF($E21&lt;&gt;-1,OFFSET(QCI!$G$13,$E21,0),""))</f>
        <v>SERVIÇOS PRELIMINARES</v>
      </c>
      <c r="J20" s="209"/>
      <c r="K20" s="209"/>
      <c r="L20" s="210">
        <f ca="1">IF($E21=0,OFFSET(ORÇAMENTO!C$15,$E20,0),1)</f>
        <v>2</v>
      </c>
      <c r="M20" s="211">
        <f ca="1">IF($E21=-1,0,IF(M$13&lt;=$L20,IF(ISERROR(MATCH(M$13,OFFSET($L20,1,0,ROW($L$32)-ROW($L20)-1),0)),ROW($L$32)-ROW($L20)-1,MATCH(M$13,OFFSET($L20,1,0,ROW($L$32)-ROW($L20)-1),0)-1),0))</f>
        <v>11</v>
      </c>
      <c r="N20" s="211">
        <f ca="1">IF($E21=-1,0,IF(N$13&lt;=$L20,IF(ISERROR(MATCH(N$13,OFFSET($L20,1,0,ROW($L$32)-ROW($L20)-1),0)),ROW($L$32)-ROW($L20)-1,MATCH(N$13,OFFSET($L20,1,0,ROW($L$32)-ROW($L20)-1),0)-1),0))</f>
        <v>2</v>
      </c>
      <c r="O20" s="211">
        <f ca="1">IF($E21=-1,0,IF(O$13&lt;=$L20,IF(ISERROR(MATCH(O$13,OFFSET($L20,1,0,ROW($L$32)-ROW($L20)-1),0)),ROW($L$32)-ROW($L20)-1,MATCH(O$13,OFFSET($L20,1,0,ROW($L$32)-ROW($L20)-1),0)-1),0))</f>
        <v>0</v>
      </c>
      <c r="P20" s="211">
        <f ca="1">IF($E21=-1,0,IF(P$13&lt;=$L20,IF(ISERROR(MATCH(P$13,OFFSET($L20,1,0,ROW($L$32)-ROW($L20)-1),0)),ROW($L$32)-ROW($L20)-1,MATCH(P$13,OFFSET($L20,1,0,ROW($L$32)-ROW($L20)-1),0)-1),0))</f>
        <v>0</v>
      </c>
      <c r="Q20" s="211">
        <f ca="1">MIN(OFFSET(L20,0,1,,L20))</f>
        <v>2</v>
      </c>
      <c r="R20" s="212">
        <f ca="1">IF($E21=0,OFFSET(ORÇAMENTO!X$15,$E20,0),IF($E21&lt;&gt;-1,OFFSET(QCI!$O$13,$E21,0),""))</f>
        <v>0</v>
      </c>
      <c r="S20" s="213" t="s">
        <v>272</v>
      </c>
      <c r="T20" s="214" t="e">
        <f t="shared" ref="T20:AE20" ca="1" si="5">IF(AND($Q20=2,ACOMPANHAMENTO="BM"),T21,T22/$R20)</f>
        <v>#DIV/0!</v>
      </c>
      <c r="U20" s="206" t="e">
        <f t="shared" ca="1" si="5"/>
        <v>#DIV/0!</v>
      </c>
      <c r="V20" s="206" t="e">
        <f t="shared" ca="1" si="5"/>
        <v>#DIV/0!</v>
      </c>
      <c r="W20" s="206" t="e">
        <f t="shared" ca="1" si="5"/>
        <v>#DIV/0!</v>
      </c>
      <c r="X20" s="206" t="e">
        <f t="shared" ca="1" si="5"/>
        <v>#DIV/0!</v>
      </c>
      <c r="Y20" s="206" t="e">
        <f t="shared" ca="1" si="5"/>
        <v>#DIV/0!</v>
      </c>
      <c r="Z20" s="206" t="e">
        <f t="shared" ca="1" si="5"/>
        <v>#DIV/0!</v>
      </c>
      <c r="AA20" s="206" t="e">
        <f t="shared" ca="1" si="5"/>
        <v>#DIV/0!</v>
      </c>
      <c r="AB20" s="206" t="e">
        <f t="shared" ca="1" si="5"/>
        <v>#DIV/0!</v>
      </c>
      <c r="AC20" s="206" t="e">
        <f t="shared" ca="1" si="5"/>
        <v>#DIV/0!</v>
      </c>
      <c r="AD20" s="206" t="e">
        <f t="shared" ca="1" si="5"/>
        <v>#DIV/0!</v>
      </c>
      <c r="AE20" s="215" t="e">
        <f t="shared" ca="1" si="5"/>
        <v>#DIV/0!</v>
      </c>
    </row>
    <row r="21" spans="1:32" ht="12.75" customHeight="1" x14ac:dyDescent="0.2">
      <c r="D21" s="569"/>
      <c r="E21" s="203">
        <f ca="1">IF(ISERROR(E20),IF(1+COUNTIF($L$13:OFFSET(L20,-1,0),1)&lt;=MAX(QCI!$D$13:$D$15),1+COUNTIF($L$13:OFFSET(L20,-1,0),1),-1),0)</f>
        <v>0</v>
      </c>
      <c r="F21" s="203" t="str">
        <f ca="1">IF(AND($E21&lt;&gt;-1,$R20&gt;0),"F","")</f>
        <v/>
      </c>
      <c r="G21" s="216" t="str">
        <f ca="1">IF(OR(R20=0,R20=""),"vazia",IF(AND(OR(ACOMPANHAMENTO="PLE",$Q20&lt;&gt;2),$E21=0),"calculada","--&gt;"))</f>
        <v>vazia</v>
      </c>
      <c r="H21" s="217"/>
      <c r="I21" s="218" t="str">
        <f ca="1">IF(AND(G20&lt;&gt;0,ISNUMBER(G20)),"PREENCHA ESTA LINHA --&gt;","")</f>
        <v/>
      </c>
      <c r="J21" s="218"/>
      <c r="K21" s="218"/>
      <c r="L21" s="219"/>
      <c r="M21" s="219"/>
      <c r="N21" s="219"/>
      <c r="O21" s="219"/>
      <c r="P21" s="219"/>
      <c r="Q21" s="219"/>
      <c r="R21" s="220"/>
      <c r="S21" s="221"/>
      <c r="T21" s="570">
        <v>0.5</v>
      </c>
      <c r="U21" s="569"/>
      <c r="V21" s="569"/>
      <c r="W21" s="569"/>
      <c r="X21" s="569">
        <v>0.5</v>
      </c>
      <c r="Y21" s="569"/>
      <c r="Z21" s="569"/>
      <c r="AA21" s="569"/>
      <c r="AB21" s="569"/>
      <c r="AC21" s="569"/>
      <c r="AD21" s="569"/>
      <c r="AE21" s="571"/>
      <c r="AF21" s="533"/>
    </row>
    <row r="22" spans="1:32" ht="0.2" hidden="1" customHeight="1" x14ac:dyDescent="0.2">
      <c r="D22" s="222">
        <f ca="1">IF($Q20=2,IF(AND(ACOMPANHAMENTO="PLE",ISNUMBER($E20)),SUMIF((OFFSET(CÁLCULO!$AM$15:$AW$15,$E20,0,OFFSET(ORÇAMENTO!$D$15,CRONO!$E20,0))),"="&amp;CRONO!D$12,OFFSET(CÁLCULO!$AB$15:$AL$15,$E20,0,OFFSET(ORÇAMENTO!$D$15,CRONO!$E20,0)))+IF(AND($E22&lt;&gt;"",$E22&lt;&gt;0),SUMIF(CÁLCULO!$AM$15:$AW$32,"="&amp;CRONO!D$12,CÁLCULO!$AB$15:$AL$32)/(ORÇAMENTO!$X$15-CÁLCULO.TotalAdmLocal)*CRONO!$E22,0),D21*$R20),SUMIF(OFFSET($R22,1,0,$Q20-2),($L20+1)&amp;"$",OFFSET(D22,1,0,$Q20-2)))</f>
        <v>0</v>
      </c>
      <c r="E22" s="203">
        <f ca="1">IF(OR($Q20&lt;&gt;2,AUTOEVENTO&lt;&gt;"manual",$E21&gt;0),"",SUMIF(OFFSET(CÁLCULO!$M$15,CRONO!$E20,0,OFFSET(ORÇAMENTO!$D$15,CRONO!$E20,0)),1,OFFSET(ORÇAMENTO!$X$15,CRONO!$E20,0,OFFSET(ORÇAMENTO!$D$15,CRONO!$E20,0))))</f>
        <v>0</v>
      </c>
      <c r="G22" s="223"/>
      <c r="R22" s="224" t="str">
        <f ca="1">L20&amp;"$"</f>
        <v>2$</v>
      </c>
      <c r="S22" s="225"/>
      <c r="T22" s="226">
        <f ca="1">IF($Q20=2,IF(AND(ACOMPANHAMENTO="PLE",ISNUMBER($E20)),SUMIF((OFFSET(CÁLCULO!$AM$15:$AW$15,$E20,0,OFFSET(ORÇAMENTO!$D$15,CRONO!$E20,0))),"&lt;="&amp;CRONO!T$12,OFFSET(CÁLCULO!$AB$15:$AL$15,$E20,0,OFFSET(ORÇAMENTO!$D$15,CRONO!$E20,0)))+IF(AND($E22&lt;&gt;"",$E22&lt;&gt;0),SUMIF(CÁLCULO!$AM$15:$AW$32,"&lt;="&amp;CRONO!T$12,CÁLCULO!$AB$15:$AL$32)/(ORÇAMENTO!$X$15-CÁLCULO.TotalAdmLocal)*CRONO!$E22,0),T21*$R20),SUMIF(OFFSET($R22,1,0,$Q20-2),($L20+1)&amp;"$",OFFSET(T22,1,0,$Q20-2)))</f>
        <v>0</v>
      </c>
      <c r="U22" s="222">
        <f ca="1">IF($Q20=2,IF(AND(ACOMPANHAMENTO="PLE",ISNUMBER($E20)),SUMIF((OFFSET(CÁLCULO!$AM$15:$AW$15,$E20,0,OFFSET(ORÇAMENTO!$D$15,CRONO!$E20,0))),"="&amp;CRONO!U$12,OFFSET(CÁLCULO!$AB$15:$AL$15,$E20,0,OFFSET(ORÇAMENTO!$D$15,CRONO!$E20,0)))+IF(AND($E22&lt;&gt;"",$E22&lt;&gt;0),SUMIF(CÁLCULO!$AM$15:$AW$32,"="&amp;CRONO!U$12,CÁLCULO!$AB$15:$AL$32)/(ORÇAMENTO!$X$15-CÁLCULO.TotalAdmLocal)*CRONO!$E22,0),U21*$R20),SUMIF(OFFSET($R22,1,0,$Q20-2),($L20+1)&amp;"$",OFFSET(U22,1,0,$Q20-2)))</f>
        <v>0</v>
      </c>
      <c r="V22" s="222">
        <f ca="1">IF($Q20=2,IF(AND(ACOMPANHAMENTO="PLE",ISNUMBER($E20)),SUMIF((OFFSET(CÁLCULO!$AM$15:$AW$15,$E20,0,OFFSET(ORÇAMENTO!$D$15,CRONO!$E20,0))),"="&amp;CRONO!V$12,OFFSET(CÁLCULO!$AB$15:$AL$15,$E20,0,OFFSET(ORÇAMENTO!$D$15,CRONO!$E20,0)))+IF(AND($E22&lt;&gt;"",$E22&lt;&gt;0),SUMIF(CÁLCULO!$AM$15:$AW$32,"="&amp;CRONO!V$12,CÁLCULO!$AB$15:$AL$32)/(ORÇAMENTO!$X$15-CÁLCULO.TotalAdmLocal)*CRONO!$E22,0),V21*$R20),SUMIF(OFFSET($R22,1,0,$Q20-2),($L20+1)&amp;"$",OFFSET(V22,1,0,$Q20-2)))</f>
        <v>0</v>
      </c>
      <c r="W22" s="222">
        <f ca="1">IF($Q20=2,IF(AND(ACOMPANHAMENTO="PLE",ISNUMBER($E20)),SUMIF((OFFSET(CÁLCULO!$AM$15:$AW$15,$E20,0,OFFSET(ORÇAMENTO!$D$15,CRONO!$E20,0))),"="&amp;CRONO!W$12,OFFSET(CÁLCULO!$AB$15:$AL$15,$E20,0,OFFSET(ORÇAMENTO!$D$15,CRONO!$E20,0)))+IF(AND($E22&lt;&gt;"",$E22&lt;&gt;0),SUMIF(CÁLCULO!$AM$15:$AW$32,"="&amp;CRONO!W$12,CÁLCULO!$AB$15:$AL$32)/(ORÇAMENTO!$X$15-CÁLCULO.TotalAdmLocal)*CRONO!$E22,0),W21*$R20),SUMIF(OFFSET($R22,1,0,$Q20-2),($L20+1)&amp;"$",OFFSET(W22,1,0,$Q20-2)))</f>
        <v>0</v>
      </c>
      <c r="X22" s="222">
        <f ca="1">IF($Q20=2,IF(AND(ACOMPANHAMENTO="PLE",ISNUMBER($E20)),SUMIF((OFFSET(CÁLCULO!$AM$15:$AW$15,$E20,0,OFFSET(ORÇAMENTO!$D$15,CRONO!$E20,0))),"="&amp;CRONO!X$12,OFFSET(CÁLCULO!$AB$15:$AL$15,$E20,0,OFFSET(ORÇAMENTO!$D$15,CRONO!$E20,0)))+IF(AND($E22&lt;&gt;"",$E22&lt;&gt;0),SUMIF(CÁLCULO!$AM$15:$AW$32,"="&amp;CRONO!X$12,CÁLCULO!$AB$15:$AL$32)/(ORÇAMENTO!$X$15-CÁLCULO.TotalAdmLocal)*CRONO!$E22,0),X21*$R20),SUMIF(OFFSET($R22,1,0,$Q20-2),($L20+1)&amp;"$",OFFSET(X22,1,0,$Q20-2)))</f>
        <v>0</v>
      </c>
      <c r="Y22" s="222">
        <f ca="1">IF($Q20=2,IF(AND(ACOMPANHAMENTO="PLE",ISNUMBER($E20)),SUMIF((OFFSET(CÁLCULO!$AM$15:$AW$15,$E20,0,OFFSET(ORÇAMENTO!$D$15,CRONO!$E20,0))),"="&amp;CRONO!Y$12,OFFSET(CÁLCULO!$AB$15:$AL$15,$E20,0,OFFSET(ORÇAMENTO!$D$15,CRONO!$E20,0)))+IF(AND($E22&lt;&gt;"",$E22&lt;&gt;0),SUMIF(CÁLCULO!$AM$15:$AW$32,"="&amp;CRONO!Y$12,CÁLCULO!$AB$15:$AL$32)/(ORÇAMENTO!$X$15-CÁLCULO.TotalAdmLocal)*CRONO!$E22,0),Y21*$R20),SUMIF(OFFSET($R22,1,0,$Q20-2),($L20+1)&amp;"$",OFFSET(Y22,1,0,$Q20-2)))</f>
        <v>0</v>
      </c>
      <c r="Z22" s="222">
        <f ca="1">IF($Q20=2,IF(AND(ACOMPANHAMENTO="PLE",ISNUMBER($E20)),SUMIF((OFFSET(CÁLCULO!$AM$15:$AW$15,$E20,0,OFFSET(ORÇAMENTO!$D$15,CRONO!$E20,0))),"="&amp;CRONO!Z$12,OFFSET(CÁLCULO!$AB$15:$AL$15,$E20,0,OFFSET(ORÇAMENTO!$D$15,CRONO!$E20,0)))+IF(AND($E22&lt;&gt;"",$E22&lt;&gt;0),SUMIF(CÁLCULO!$AM$15:$AW$32,"="&amp;CRONO!Z$12,CÁLCULO!$AB$15:$AL$32)/(ORÇAMENTO!$X$15-CÁLCULO.TotalAdmLocal)*CRONO!$E22,0),Z21*$R20),SUMIF(OFFSET($R22,1,0,$Q20-2),($L20+1)&amp;"$",OFFSET(Z22,1,0,$Q20-2)))</f>
        <v>0</v>
      </c>
      <c r="AA22" s="222">
        <f ca="1">IF($Q20=2,IF(AND(ACOMPANHAMENTO="PLE",ISNUMBER($E20)),SUMIF((OFFSET(CÁLCULO!$AM$15:$AW$15,$E20,0,OFFSET(ORÇAMENTO!$D$15,CRONO!$E20,0))),"="&amp;CRONO!AA$12,OFFSET(CÁLCULO!$AB$15:$AL$15,$E20,0,OFFSET(ORÇAMENTO!$D$15,CRONO!$E20,0)))+IF(AND($E22&lt;&gt;"",$E22&lt;&gt;0),SUMIF(CÁLCULO!$AM$15:$AW$32,"="&amp;CRONO!AA$12,CÁLCULO!$AB$15:$AL$32)/(ORÇAMENTO!$X$15-CÁLCULO.TotalAdmLocal)*CRONO!$E22,0),AA21*$R20),SUMIF(OFFSET($R22,1,0,$Q20-2),($L20+1)&amp;"$",OFFSET(AA22,1,0,$Q20-2)))</f>
        <v>0</v>
      </c>
      <c r="AB22" s="222">
        <f ca="1">IF($Q20=2,IF(AND(ACOMPANHAMENTO="PLE",ISNUMBER($E20)),SUMIF((OFFSET(CÁLCULO!$AM$15:$AW$15,$E20,0,OFFSET(ORÇAMENTO!$D$15,CRONO!$E20,0))),"="&amp;CRONO!AB$12,OFFSET(CÁLCULO!$AB$15:$AL$15,$E20,0,OFFSET(ORÇAMENTO!$D$15,CRONO!$E20,0)))+IF(AND($E22&lt;&gt;"",$E22&lt;&gt;0),SUMIF(CÁLCULO!$AM$15:$AW$32,"="&amp;CRONO!AB$12,CÁLCULO!$AB$15:$AL$32)/(ORÇAMENTO!$X$15-CÁLCULO.TotalAdmLocal)*CRONO!$E22,0),AB21*$R20),SUMIF(OFFSET($R22,1,0,$Q20-2),($L20+1)&amp;"$",OFFSET(AB22,1,0,$Q20-2)))</f>
        <v>0</v>
      </c>
      <c r="AC22" s="222">
        <f ca="1">IF($Q20=2,IF(AND(ACOMPANHAMENTO="PLE",ISNUMBER($E20)),SUMIF((OFFSET(CÁLCULO!$AM$15:$AW$15,$E20,0,OFFSET(ORÇAMENTO!$D$15,CRONO!$E20,0))),"="&amp;CRONO!AC$12,OFFSET(CÁLCULO!$AB$15:$AL$15,$E20,0,OFFSET(ORÇAMENTO!$D$15,CRONO!$E20,0)))+IF(AND($E22&lt;&gt;"",$E22&lt;&gt;0),SUMIF(CÁLCULO!$AM$15:$AW$32,"="&amp;CRONO!AC$12,CÁLCULO!$AB$15:$AL$32)/(ORÇAMENTO!$X$15-CÁLCULO.TotalAdmLocal)*CRONO!$E22,0),AC21*$R20),SUMIF(OFFSET($R22,1,0,$Q20-2),($L20+1)&amp;"$",OFFSET(AC22,1,0,$Q20-2)))</f>
        <v>0</v>
      </c>
      <c r="AD22" s="222">
        <f ca="1">IF($Q20=2,IF(AND(ACOMPANHAMENTO="PLE",ISNUMBER($E20)),SUMIF((OFFSET(CÁLCULO!$AM$15:$AW$15,$E20,0,OFFSET(ORÇAMENTO!$D$15,CRONO!$E20,0))),"="&amp;CRONO!AD$12,OFFSET(CÁLCULO!$AB$15:$AL$15,$E20,0,OFFSET(ORÇAMENTO!$D$15,CRONO!$E20,0)))+IF(AND($E22&lt;&gt;"",$E22&lt;&gt;0),SUMIF(CÁLCULO!$AM$15:$AW$32,"="&amp;CRONO!AD$12,CÁLCULO!$AB$15:$AL$32)/(ORÇAMENTO!$X$15-CÁLCULO.TotalAdmLocal)*CRONO!$E22,0),AD21*$R20),SUMIF(OFFSET($R22,1,0,$Q20-2),($L20+1)&amp;"$",OFFSET(AD22,1,0,$Q20-2)))</f>
        <v>0</v>
      </c>
      <c r="AE22" s="227">
        <f ca="1">IF($Q20=2,IF(AND(ACOMPANHAMENTO="PLE",ISNUMBER($E20)),SUMIF((OFFSET(CÁLCULO!$AM$15:$AW$15,$E20,0,OFFSET(ORÇAMENTO!$D$15,CRONO!$E20,0))),"="&amp;CRONO!AE$12,OFFSET(CÁLCULO!$AB$15:$AL$15,$E20,0,OFFSET(ORÇAMENTO!$D$15,CRONO!$E20,0)))+IF(AND($E22&lt;&gt;"",$E22&lt;&gt;0),SUMIF(CÁLCULO!$AM$15:$AW$32,"="&amp;CRONO!AE$12,CÁLCULO!$AB$15:$AL$32)/(ORÇAMENTO!$X$15-CÁLCULO.TotalAdmLocal)*CRONO!$E22,0),AE21*$R20),SUMIF(OFFSET($R22,1,0,$Q20-2),($L20+1)&amp;"$",OFFSET(AE22,1,0,$Q20-2)))</f>
        <v>0</v>
      </c>
    </row>
    <row r="23" spans="1:32" x14ac:dyDescent="0.2">
      <c r="A23" s="203">
        <f ca="1">OFFSET(A23,-3,0)+1</f>
        <v>4</v>
      </c>
      <c r="B23" s="203">
        <f ca="1">IF($Q23&lt;&gt;2,0,IF($R23=0,1,IF(E24&gt;0,OFFSET(QCI!$M$13,SUBSTITUTE(E24,".",""),0),OFFSET(ORÇAMENTO!$AA$15,CRONO!$E23,0))/$R23))</f>
        <v>1</v>
      </c>
      <c r="C23" s="203">
        <f ca="1">IF($Q23&lt;&gt;2,0,IF($R23=0,1,IF(E24&gt;0,OFFSET(QCI!$N$13,SUBSTITUTE(E24,".",""),0),OFFSET(ORÇAMENTO!$AB$15,CRONO!$E23,0))/$R23))</f>
        <v>1</v>
      </c>
      <c r="D23" s="206" t="e">
        <f ca="1">IF(AND($Q23=2,ACOMPANHAMENTO="BM"),D24,D25/$R23)</f>
        <v>#DIV/0!</v>
      </c>
      <c r="E23" s="203">
        <f ca="1">IF(A23&lt;=ORÇAMENTO.MáximoListaCrono,MATCH(A23,ORÇAMENTO.ListaCrono,0),NA())</f>
        <v>6</v>
      </c>
      <c r="F23" s="203" t="str">
        <f ca="1">IF(AND($E24&lt;&gt;-1,$R23&gt;0),"F","")</f>
        <v/>
      </c>
      <c r="G23" s="207" t="str">
        <f ca="1">IF(OR(R23=0,R23=""),"Linha",IF(AND(OR(ACOMPANHAMENTO="PLE",$Q23&lt;&gt;2),$E24=0),"Linha",1-SUM(T23:AF23)))</f>
        <v>Linha</v>
      </c>
      <c r="H23" s="208" t="str">
        <f ca="1">IF($E24=0,OFFSET(ORÇAMENTO!O$15,$E23,0),IF($E24&lt;&gt;-1,OFFSET(QCI!$D$13,$E24,0),""))</f>
        <v>1.3.</v>
      </c>
      <c r="I23" s="209" t="str">
        <f ca="1">IF($E24=0,OFFSET(ORÇAMENTO!R$15,$E23,0),IF($E24&lt;&gt;-1,OFFSET(QCI!$G$13,$E24,0),""))</f>
        <v>TERRAPLANAGEM</v>
      </c>
      <c r="J23" s="209"/>
      <c r="K23" s="209"/>
      <c r="L23" s="210">
        <f ca="1">IF($E24=0,OFFSET(ORÇAMENTO!C$15,$E23,0),1)</f>
        <v>2</v>
      </c>
      <c r="M23" s="211">
        <f ca="1">IF($E24=-1,0,IF(M$13&lt;=$L23,IF(ISERROR(MATCH(M$13,OFFSET($L23,1,0,ROW($L$32)-ROW($L23)-1),0)),ROW($L$32)-ROW($L23)-1,MATCH(M$13,OFFSET($L23,1,0,ROW($L$32)-ROW($L23)-1),0)-1),0))</f>
        <v>8</v>
      </c>
      <c r="N23" s="211">
        <f ca="1">IF($E24=-1,0,IF(N$13&lt;=$L23,IF(ISERROR(MATCH(N$13,OFFSET($L23,1,0,ROW($L$32)-ROW($L23)-1),0)),ROW($L$32)-ROW($L23)-1,MATCH(N$13,OFFSET($L23,1,0,ROW($L$32)-ROW($L23)-1),0)-1),0))</f>
        <v>2</v>
      </c>
      <c r="O23" s="211">
        <f ca="1">IF($E24=-1,0,IF(O$13&lt;=$L23,IF(ISERROR(MATCH(O$13,OFFSET($L23,1,0,ROW($L$32)-ROW($L23)-1),0)),ROW($L$32)-ROW($L23)-1,MATCH(O$13,OFFSET($L23,1,0,ROW($L$32)-ROW($L23)-1),0)-1),0))</f>
        <v>0</v>
      </c>
      <c r="P23" s="211">
        <f ca="1">IF($E24=-1,0,IF(P$13&lt;=$L23,IF(ISERROR(MATCH(P$13,OFFSET($L23,1,0,ROW($L$32)-ROW($L23)-1),0)),ROW($L$32)-ROW($L23)-1,MATCH(P$13,OFFSET($L23,1,0,ROW($L$32)-ROW($L23)-1),0)-1),0))</f>
        <v>0</v>
      </c>
      <c r="Q23" s="211">
        <f ca="1">MIN(OFFSET(L23,0,1,,L23))</f>
        <v>2</v>
      </c>
      <c r="R23" s="212">
        <f ca="1">IF($E24=0,OFFSET(ORÇAMENTO!X$15,$E23,0),IF($E24&lt;&gt;-1,OFFSET(QCI!$O$13,$E24,0),""))</f>
        <v>0</v>
      </c>
      <c r="S23" s="213" t="s">
        <v>272</v>
      </c>
      <c r="T23" s="214" t="e">
        <f t="shared" ref="T23:AE23" ca="1" si="6">IF(AND($Q23=2,ACOMPANHAMENTO="BM"),T24,T25/$R23)</f>
        <v>#DIV/0!</v>
      </c>
      <c r="U23" s="206" t="e">
        <f t="shared" ca="1" si="6"/>
        <v>#DIV/0!</v>
      </c>
      <c r="V23" s="206" t="e">
        <f t="shared" ca="1" si="6"/>
        <v>#DIV/0!</v>
      </c>
      <c r="W23" s="206" t="e">
        <f t="shared" ca="1" si="6"/>
        <v>#DIV/0!</v>
      </c>
      <c r="X23" s="206" t="e">
        <f t="shared" ca="1" si="6"/>
        <v>#DIV/0!</v>
      </c>
      <c r="Y23" s="206" t="e">
        <f t="shared" ca="1" si="6"/>
        <v>#DIV/0!</v>
      </c>
      <c r="Z23" s="206" t="e">
        <f t="shared" ca="1" si="6"/>
        <v>#DIV/0!</v>
      </c>
      <c r="AA23" s="206" t="e">
        <f t="shared" ca="1" si="6"/>
        <v>#DIV/0!</v>
      </c>
      <c r="AB23" s="206" t="e">
        <f t="shared" ca="1" si="6"/>
        <v>#DIV/0!</v>
      </c>
      <c r="AC23" s="206" t="e">
        <f t="shared" ca="1" si="6"/>
        <v>#DIV/0!</v>
      </c>
      <c r="AD23" s="206" t="e">
        <f t="shared" ca="1" si="6"/>
        <v>#DIV/0!</v>
      </c>
      <c r="AE23" s="215" t="e">
        <f t="shared" ca="1" si="6"/>
        <v>#DIV/0!</v>
      </c>
    </row>
    <row r="24" spans="1:32" ht="12.75" customHeight="1" x14ac:dyDescent="0.2">
      <c r="D24" s="569"/>
      <c r="E24" s="203">
        <f ca="1">IF(ISERROR(E23),IF(1+COUNTIF($L$13:OFFSET(L23,-1,0),1)&lt;=MAX(QCI!$D$13:$D$15),1+COUNTIF($L$13:OFFSET(L23,-1,0),1),-1),0)</f>
        <v>0</v>
      </c>
      <c r="F24" s="203" t="str">
        <f ca="1">IF(AND($E24&lt;&gt;-1,$R23&gt;0),"F","")</f>
        <v/>
      </c>
      <c r="G24" s="216" t="str">
        <f ca="1">IF(OR(R23=0,R23=""),"vazia",IF(AND(OR(ACOMPANHAMENTO="PLE",$Q23&lt;&gt;2),$E24=0),"calculada","--&gt;"))</f>
        <v>vazia</v>
      </c>
      <c r="H24" s="217"/>
      <c r="I24" s="218" t="str">
        <f ca="1">IF(AND(G23&lt;&gt;0,ISNUMBER(G23)),"PREENCHA ESTA LINHA --&gt;","")</f>
        <v/>
      </c>
      <c r="J24" s="218"/>
      <c r="K24" s="218"/>
      <c r="L24" s="219"/>
      <c r="M24" s="219"/>
      <c r="N24" s="219"/>
      <c r="O24" s="219"/>
      <c r="P24" s="219"/>
      <c r="Q24" s="219"/>
      <c r="R24" s="220"/>
      <c r="S24" s="221"/>
      <c r="T24" s="570">
        <v>0.27</v>
      </c>
      <c r="U24" s="569"/>
      <c r="V24" s="569"/>
      <c r="W24" s="569"/>
      <c r="X24" s="569">
        <v>0.73</v>
      </c>
      <c r="Y24" s="569"/>
      <c r="Z24" s="569"/>
      <c r="AA24" s="569"/>
      <c r="AB24" s="569"/>
      <c r="AC24" s="569"/>
      <c r="AD24" s="569"/>
      <c r="AE24" s="571"/>
      <c r="AF24" s="533"/>
    </row>
    <row r="25" spans="1:32" ht="0.2" hidden="1" customHeight="1" x14ac:dyDescent="0.2">
      <c r="D25" s="222">
        <f ca="1">IF($Q23=2,IF(AND(ACOMPANHAMENTO="PLE",ISNUMBER($E23)),SUMIF((OFFSET(CÁLCULO!$AM$15:$AW$15,$E23,0,OFFSET(ORÇAMENTO!$D$15,CRONO!$E23,0))),"="&amp;CRONO!D$12,OFFSET(CÁLCULO!$AB$15:$AL$15,$E23,0,OFFSET(ORÇAMENTO!$D$15,CRONO!$E23,0)))+IF(AND($E25&lt;&gt;"",$E25&lt;&gt;0),SUMIF(CÁLCULO!$AM$15:$AW$32,"="&amp;CRONO!D$12,CÁLCULO!$AB$15:$AL$32)/(ORÇAMENTO!$X$15-CÁLCULO.TotalAdmLocal)*CRONO!$E25,0),D24*$R23),SUMIF(OFFSET($R25,1,0,$Q23-2),($L23+1)&amp;"$",OFFSET(D25,1,0,$Q23-2)))</f>
        <v>0</v>
      </c>
      <c r="E25" s="203">
        <f ca="1">IF(OR($Q23&lt;&gt;2,AUTOEVENTO&lt;&gt;"manual",$E24&gt;0),"",SUMIF(OFFSET(CÁLCULO!$M$15,CRONO!$E23,0,OFFSET(ORÇAMENTO!$D$15,CRONO!$E23,0)),1,OFFSET(ORÇAMENTO!$X$15,CRONO!$E23,0,OFFSET(ORÇAMENTO!$D$15,CRONO!$E23,0))))</f>
        <v>0</v>
      </c>
      <c r="G25" s="223"/>
      <c r="R25" s="224" t="str">
        <f ca="1">L23&amp;"$"</f>
        <v>2$</v>
      </c>
      <c r="S25" s="225"/>
      <c r="T25" s="226">
        <f ca="1">IF($Q23=2,IF(AND(ACOMPANHAMENTO="PLE",ISNUMBER($E23)),SUMIF((OFFSET(CÁLCULO!$AM$15:$AW$15,$E23,0,OFFSET(ORÇAMENTO!$D$15,CRONO!$E23,0))),"&lt;="&amp;CRONO!T$12,OFFSET(CÁLCULO!$AB$15:$AL$15,$E23,0,OFFSET(ORÇAMENTO!$D$15,CRONO!$E23,0)))+IF(AND($E25&lt;&gt;"",$E25&lt;&gt;0),SUMIF(CÁLCULO!$AM$15:$AW$32,"&lt;="&amp;CRONO!T$12,CÁLCULO!$AB$15:$AL$32)/(ORÇAMENTO!$X$15-CÁLCULO.TotalAdmLocal)*CRONO!$E25,0),T24*$R23),SUMIF(OFFSET($R25,1,0,$Q23-2),($L23+1)&amp;"$",OFFSET(T25,1,0,$Q23-2)))</f>
        <v>0</v>
      </c>
      <c r="U25" s="222">
        <f ca="1">IF($Q23=2,IF(AND(ACOMPANHAMENTO="PLE",ISNUMBER($E23)),SUMIF((OFFSET(CÁLCULO!$AM$15:$AW$15,$E23,0,OFFSET(ORÇAMENTO!$D$15,CRONO!$E23,0))),"="&amp;CRONO!U$12,OFFSET(CÁLCULO!$AB$15:$AL$15,$E23,0,OFFSET(ORÇAMENTO!$D$15,CRONO!$E23,0)))+IF(AND($E25&lt;&gt;"",$E25&lt;&gt;0),SUMIF(CÁLCULO!$AM$15:$AW$32,"="&amp;CRONO!U$12,CÁLCULO!$AB$15:$AL$32)/(ORÇAMENTO!$X$15-CÁLCULO.TotalAdmLocal)*CRONO!$E25,0),U24*$R23),SUMIF(OFFSET($R25,1,0,$Q23-2),($L23+1)&amp;"$",OFFSET(U25,1,0,$Q23-2)))</f>
        <v>0</v>
      </c>
      <c r="V25" s="222">
        <f ca="1">IF($Q23=2,IF(AND(ACOMPANHAMENTO="PLE",ISNUMBER($E23)),SUMIF((OFFSET(CÁLCULO!$AM$15:$AW$15,$E23,0,OFFSET(ORÇAMENTO!$D$15,CRONO!$E23,0))),"="&amp;CRONO!V$12,OFFSET(CÁLCULO!$AB$15:$AL$15,$E23,0,OFFSET(ORÇAMENTO!$D$15,CRONO!$E23,0)))+IF(AND($E25&lt;&gt;"",$E25&lt;&gt;0),SUMIF(CÁLCULO!$AM$15:$AW$32,"="&amp;CRONO!V$12,CÁLCULO!$AB$15:$AL$32)/(ORÇAMENTO!$X$15-CÁLCULO.TotalAdmLocal)*CRONO!$E25,0),V24*$R23),SUMIF(OFFSET($R25,1,0,$Q23-2),($L23+1)&amp;"$",OFFSET(V25,1,0,$Q23-2)))</f>
        <v>0</v>
      </c>
      <c r="W25" s="222">
        <f ca="1">IF($Q23=2,IF(AND(ACOMPANHAMENTO="PLE",ISNUMBER($E23)),SUMIF((OFFSET(CÁLCULO!$AM$15:$AW$15,$E23,0,OFFSET(ORÇAMENTO!$D$15,CRONO!$E23,0))),"="&amp;CRONO!W$12,OFFSET(CÁLCULO!$AB$15:$AL$15,$E23,0,OFFSET(ORÇAMENTO!$D$15,CRONO!$E23,0)))+IF(AND($E25&lt;&gt;"",$E25&lt;&gt;0),SUMIF(CÁLCULO!$AM$15:$AW$32,"="&amp;CRONO!W$12,CÁLCULO!$AB$15:$AL$32)/(ORÇAMENTO!$X$15-CÁLCULO.TotalAdmLocal)*CRONO!$E25,0),W24*$R23),SUMIF(OFFSET($R25,1,0,$Q23-2),($L23+1)&amp;"$",OFFSET(W25,1,0,$Q23-2)))</f>
        <v>0</v>
      </c>
      <c r="X25" s="222">
        <f ca="1">IF($Q23=2,IF(AND(ACOMPANHAMENTO="PLE",ISNUMBER($E23)),SUMIF((OFFSET(CÁLCULO!$AM$15:$AW$15,$E23,0,OFFSET(ORÇAMENTO!$D$15,CRONO!$E23,0))),"="&amp;CRONO!X$12,OFFSET(CÁLCULO!$AB$15:$AL$15,$E23,0,OFFSET(ORÇAMENTO!$D$15,CRONO!$E23,0)))+IF(AND($E25&lt;&gt;"",$E25&lt;&gt;0),SUMIF(CÁLCULO!$AM$15:$AW$32,"="&amp;CRONO!X$12,CÁLCULO!$AB$15:$AL$32)/(ORÇAMENTO!$X$15-CÁLCULO.TotalAdmLocal)*CRONO!$E25,0),X24*$R23),SUMIF(OFFSET($R25,1,0,$Q23-2),($L23+1)&amp;"$",OFFSET(X25,1,0,$Q23-2)))</f>
        <v>0</v>
      </c>
      <c r="Y25" s="222">
        <f ca="1">IF($Q23=2,IF(AND(ACOMPANHAMENTO="PLE",ISNUMBER($E23)),SUMIF((OFFSET(CÁLCULO!$AM$15:$AW$15,$E23,0,OFFSET(ORÇAMENTO!$D$15,CRONO!$E23,0))),"="&amp;CRONO!Y$12,OFFSET(CÁLCULO!$AB$15:$AL$15,$E23,0,OFFSET(ORÇAMENTO!$D$15,CRONO!$E23,0)))+IF(AND($E25&lt;&gt;"",$E25&lt;&gt;0),SUMIF(CÁLCULO!$AM$15:$AW$32,"="&amp;CRONO!Y$12,CÁLCULO!$AB$15:$AL$32)/(ORÇAMENTO!$X$15-CÁLCULO.TotalAdmLocal)*CRONO!$E25,0),Y24*$R23),SUMIF(OFFSET($R25,1,0,$Q23-2),($L23+1)&amp;"$",OFFSET(Y25,1,0,$Q23-2)))</f>
        <v>0</v>
      </c>
      <c r="Z25" s="222">
        <f ca="1">IF($Q23=2,IF(AND(ACOMPANHAMENTO="PLE",ISNUMBER($E23)),SUMIF((OFFSET(CÁLCULO!$AM$15:$AW$15,$E23,0,OFFSET(ORÇAMENTO!$D$15,CRONO!$E23,0))),"="&amp;CRONO!Z$12,OFFSET(CÁLCULO!$AB$15:$AL$15,$E23,0,OFFSET(ORÇAMENTO!$D$15,CRONO!$E23,0)))+IF(AND($E25&lt;&gt;"",$E25&lt;&gt;0),SUMIF(CÁLCULO!$AM$15:$AW$32,"="&amp;CRONO!Z$12,CÁLCULO!$AB$15:$AL$32)/(ORÇAMENTO!$X$15-CÁLCULO.TotalAdmLocal)*CRONO!$E25,0),Z24*$R23),SUMIF(OFFSET($R25,1,0,$Q23-2),($L23+1)&amp;"$",OFFSET(Z25,1,0,$Q23-2)))</f>
        <v>0</v>
      </c>
      <c r="AA25" s="222">
        <f ca="1">IF($Q23=2,IF(AND(ACOMPANHAMENTO="PLE",ISNUMBER($E23)),SUMIF((OFFSET(CÁLCULO!$AM$15:$AW$15,$E23,0,OFFSET(ORÇAMENTO!$D$15,CRONO!$E23,0))),"="&amp;CRONO!AA$12,OFFSET(CÁLCULO!$AB$15:$AL$15,$E23,0,OFFSET(ORÇAMENTO!$D$15,CRONO!$E23,0)))+IF(AND($E25&lt;&gt;"",$E25&lt;&gt;0),SUMIF(CÁLCULO!$AM$15:$AW$32,"="&amp;CRONO!AA$12,CÁLCULO!$AB$15:$AL$32)/(ORÇAMENTO!$X$15-CÁLCULO.TotalAdmLocal)*CRONO!$E25,0),AA24*$R23),SUMIF(OFFSET($R25,1,0,$Q23-2),($L23+1)&amp;"$",OFFSET(AA25,1,0,$Q23-2)))</f>
        <v>0</v>
      </c>
      <c r="AB25" s="222">
        <f ca="1">IF($Q23=2,IF(AND(ACOMPANHAMENTO="PLE",ISNUMBER($E23)),SUMIF((OFFSET(CÁLCULO!$AM$15:$AW$15,$E23,0,OFFSET(ORÇAMENTO!$D$15,CRONO!$E23,0))),"="&amp;CRONO!AB$12,OFFSET(CÁLCULO!$AB$15:$AL$15,$E23,0,OFFSET(ORÇAMENTO!$D$15,CRONO!$E23,0)))+IF(AND($E25&lt;&gt;"",$E25&lt;&gt;0),SUMIF(CÁLCULO!$AM$15:$AW$32,"="&amp;CRONO!AB$12,CÁLCULO!$AB$15:$AL$32)/(ORÇAMENTO!$X$15-CÁLCULO.TotalAdmLocal)*CRONO!$E25,0),AB24*$R23),SUMIF(OFFSET($R25,1,0,$Q23-2),($L23+1)&amp;"$",OFFSET(AB25,1,0,$Q23-2)))</f>
        <v>0</v>
      </c>
      <c r="AC25" s="222">
        <f ca="1">IF($Q23=2,IF(AND(ACOMPANHAMENTO="PLE",ISNUMBER($E23)),SUMIF((OFFSET(CÁLCULO!$AM$15:$AW$15,$E23,0,OFFSET(ORÇAMENTO!$D$15,CRONO!$E23,0))),"="&amp;CRONO!AC$12,OFFSET(CÁLCULO!$AB$15:$AL$15,$E23,0,OFFSET(ORÇAMENTO!$D$15,CRONO!$E23,0)))+IF(AND($E25&lt;&gt;"",$E25&lt;&gt;0),SUMIF(CÁLCULO!$AM$15:$AW$32,"="&amp;CRONO!AC$12,CÁLCULO!$AB$15:$AL$32)/(ORÇAMENTO!$X$15-CÁLCULO.TotalAdmLocal)*CRONO!$E25,0),AC24*$R23),SUMIF(OFFSET($R25,1,0,$Q23-2),($L23+1)&amp;"$",OFFSET(AC25,1,0,$Q23-2)))</f>
        <v>0</v>
      </c>
      <c r="AD25" s="222">
        <f ca="1">IF($Q23=2,IF(AND(ACOMPANHAMENTO="PLE",ISNUMBER($E23)),SUMIF((OFFSET(CÁLCULO!$AM$15:$AW$15,$E23,0,OFFSET(ORÇAMENTO!$D$15,CRONO!$E23,0))),"="&amp;CRONO!AD$12,OFFSET(CÁLCULO!$AB$15:$AL$15,$E23,0,OFFSET(ORÇAMENTO!$D$15,CRONO!$E23,0)))+IF(AND($E25&lt;&gt;"",$E25&lt;&gt;0),SUMIF(CÁLCULO!$AM$15:$AW$32,"="&amp;CRONO!AD$12,CÁLCULO!$AB$15:$AL$32)/(ORÇAMENTO!$X$15-CÁLCULO.TotalAdmLocal)*CRONO!$E25,0),AD24*$R23),SUMIF(OFFSET($R25,1,0,$Q23-2),($L23+1)&amp;"$",OFFSET(AD25,1,0,$Q23-2)))</f>
        <v>0</v>
      </c>
      <c r="AE25" s="227">
        <f ca="1">IF($Q23=2,IF(AND(ACOMPANHAMENTO="PLE",ISNUMBER($E23)),SUMIF((OFFSET(CÁLCULO!$AM$15:$AW$15,$E23,0,OFFSET(ORÇAMENTO!$D$15,CRONO!$E23,0))),"="&amp;CRONO!AE$12,OFFSET(CÁLCULO!$AB$15:$AL$15,$E23,0,OFFSET(ORÇAMENTO!$D$15,CRONO!$E23,0)))+IF(AND($E25&lt;&gt;"",$E25&lt;&gt;0),SUMIF(CÁLCULO!$AM$15:$AW$32,"="&amp;CRONO!AE$12,CÁLCULO!$AB$15:$AL$32)/(ORÇAMENTO!$X$15-CÁLCULO.TotalAdmLocal)*CRONO!$E25,0),AE24*$R23),SUMIF(OFFSET($R25,1,0,$Q23-2),($L23+1)&amp;"$",OFFSET(AE25,1,0,$Q23-2)))</f>
        <v>0</v>
      </c>
    </row>
    <row r="26" spans="1:32" x14ac:dyDescent="0.2">
      <c r="A26" s="203">
        <f ca="1">OFFSET(A26,-3,0)+1</f>
        <v>5</v>
      </c>
      <c r="B26" s="203">
        <f ca="1">IF($Q26&lt;&gt;2,0,IF($R26=0,1,IF(E27&gt;0,OFFSET(QCI!$M$13,SUBSTITUTE(E27,".",""),0),OFFSET(ORÇAMENTO!$AA$15,CRONO!$E26,0))/$R26))</f>
        <v>1</v>
      </c>
      <c r="C26" s="203">
        <f ca="1">IF($Q26&lt;&gt;2,0,IF($R26=0,1,IF(E27&gt;0,OFFSET(QCI!$N$13,SUBSTITUTE(E27,".",""),0),OFFSET(ORÇAMENTO!$AB$15,CRONO!$E26,0))/$R26))</f>
        <v>1</v>
      </c>
      <c r="D26" s="206" t="e">
        <f ca="1">IF(AND($Q26=2,ACOMPANHAMENTO="BM"),D27,D28/$R26)</f>
        <v>#DIV/0!</v>
      </c>
      <c r="E26" s="203">
        <f ca="1">IF(A26&lt;=ORÇAMENTO.MáximoListaCrono,MATCH(A26,ORÇAMENTO.ListaCrono,0),NA())</f>
        <v>8</v>
      </c>
      <c r="F26" s="203" t="str">
        <f ca="1">IF(AND($E27&lt;&gt;-1,$R26&gt;0),"F","")</f>
        <v/>
      </c>
      <c r="G26" s="207" t="str">
        <f ca="1">IF(OR(R26=0,R26=""),"Linha",IF(AND(OR(ACOMPANHAMENTO="PLE",$Q26&lt;&gt;2),$E27=0),"Linha",1-SUM(T26:AF26)))</f>
        <v>Linha</v>
      </c>
      <c r="H26" s="208" t="str">
        <f ca="1">IF($E27=0,OFFSET(ORÇAMENTO!O$15,$E26,0),IF($E27&lt;&gt;-1,OFFSET(QCI!$D$13,$E27,0),""))</f>
        <v>1.4.</v>
      </c>
      <c r="I26" s="209" t="str">
        <f ca="1">IF($E27=0,OFFSET(ORÇAMENTO!R$15,$E26,0),IF($E27&lt;&gt;-1,OFFSET(QCI!$G$13,$E27,0),""))</f>
        <v>PAVIMENTAÇÃO - PISTA</v>
      </c>
      <c r="J26" s="209"/>
      <c r="K26" s="209"/>
      <c r="L26" s="210">
        <f ca="1">IF($E27=0,OFFSET(ORÇAMENTO!C$15,$E26,0),1)</f>
        <v>2</v>
      </c>
      <c r="M26" s="211">
        <f ca="1">IF($E27=-1,0,IF(M$13&lt;=$L26,IF(ISERROR(MATCH(M$13,OFFSET($L26,1,0,ROW($L$32)-ROW($L26)-1),0)),ROW($L$32)-ROW($L26)-1,MATCH(M$13,OFFSET($L26,1,0,ROW($L$32)-ROW($L26)-1),0)-1),0))</f>
        <v>5</v>
      </c>
      <c r="N26" s="211">
        <f ca="1">IF($E27=-1,0,IF(N$13&lt;=$L26,IF(ISERROR(MATCH(N$13,OFFSET($L26,1,0,ROW($L$32)-ROW($L26)-1),0)),ROW($L$32)-ROW($L26)-1,MATCH(N$13,OFFSET($L26,1,0,ROW($L$32)-ROW($L26)-1),0)-1),0))</f>
        <v>2</v>
      </c>
      <c r="O26" s="211">
        <f ca="1">IF($E27=-1,0,IF(O$13&lt;=$L26,IF(ISERROR(MATCH(O$13,OFFSET($L26,1,0,ROW($L$32)-ROW($L26)-1),0)),ROW($L$32)-ROW($L26)-1,MATCH(O$13,OFFSET($L26,1,0,ROW($L$32)-ROW($L26)-1),0)-1),0))</f>
        <v>0</v>
      </c>
      <c r="P26" s="211">
        <f ca="1">IF($E27=-1,0,IF(P$13&lt;=$L26,IF(ISERROR(MATCH(P$13,OFFSET($L26,1,0,ROW($L$32)-ROW($L26)-1),0)),ROW($L$32)-ROW($L26)-1,MATCH(P$13,OFFSET($L26,1,0,ROW($L$32)-ROW($L26)-1),0)-1),0))</f>
        <v>0</v>
      </c>
      <c r="Q26" s="211">
        <f ca="1">MIN(OFFSET(L26,0,1,,L26))</f>
        <v>2</v>
      </c>
      <c r="R26" s="212">
        <f ca="1">IF($E27=0,OFFSET(ORÇAMENTO!X$15,$E26,0),IF($E27&lt;&gt;-1,OFFSET(QCI!$O$13,$E27,0),""))</f>
        <v>0</v>
      </c>
      <c r="S26" s="213" t="s">
        <v>272</v>
      </c>
      <c r="T26" s="214" t="e">
        <f t="shared" ref="T26:AE26" ca="1" si="7">IF(AND($Q26=2,ACOMPANHAMENTO="BM"),T27,T28/$R26)</f>
        <v>#DIV/0!</v>
      </c>
      <c r="U26" s="206" t="e">
        <f t="shared" ca="1" si="7"/>
        <v>#DIV/0!</v>
      </c>
      <c r="V26" s="206" t="e">
        <f t="shared" ca="1" si="7"/>
        <v>#DIV/0!</v>
      </c>
      <c r="W26" s="206" t="e">
        <f t="shared" ca="1" si="7"/>
        <v>#DIV/0!</v>
      </c>
      <c r="X26" s="206" t="e">
        <f t="shared" ca="1" si="7"/>
        <v>#DIV/0!</v>
      </c>
      <c r="Y26" s="206" t="e">
        <f t="shared" ca="1" si="7"/>
        <v>#DIV/0!</v>
      </c>
      <c r="Z26" s="206" t="e">
        <f t="shared" ca="1" si="7"/>
        <v>#DIV/0!</v>
      </c>
      <c r="AA26" s="206" t="e">
        <f t="shared" ca="1" si="7"/>
        <v>#DIV/0!</v>
      </c>
      <c r="AB26" s="206" t="e">
        <f t="shared" ca="1" si="7"/>
        <v>#DIV/0!</v>
      </c>
      <c r="AC26" s="206" t="e">
        <f t="shared" ca="1" si="7"/>
        <v>#DIV/0!</v>
      </c>
      <c r="AD26" s="206" t="e">
        <f t="shared" ca="1" si="7"/>
        <v>#DIV/0!</v>
      </c>
      <c r="AE26" s="215" t="e">
        <f t="shared" ca="1" si="7"/>
        <v>#DIV/0!</v>
      </c>
    </row>
    <row r="27" spans="1:32" ht="12.75" customHeight="1" x14ac:dyDescent="0.2">
      <c r="D27" s="569"/>
      <c r="E27" s="203">
        <f ca="1">IF(ISERROR(E26),IF(1+COUNTIF($L$13:OFFSET(L26,-1,0),1)&lt;=MAX(QCI!$D$13:$D$15),1+COUNTIF($L$13:OFFSET(L26,-1,0),1),-1),0)</f>
        <v>0</v>
      </c>
      <c r="F27" s="203" t="str">
        <f ca="1">IF(AND($E27&lt;&gt;-1,$R26&gt;0),"F","")</f>
        <v/>
      </c>
      <c r="G27" s="216" t="str">
        <f ca="1">IF(OR(R26=0,R26=""),"vazia",IF(AND(OR(ACOMPANHAMENTO="PLE",$Q26&lt;&gt;2),$E27=0),"calculada","--&gt;"))</f>
        <v>vazia</v>
      </c>
      <c r="H27" s="217"/>
      <c r="I27" s="218" t="str">
        <f ca="1">IF(AND(G26&lt;&gt;0,ISNUMBER(G26)),"PREENCHA ESTA LINHA --&gt;","")</f>
        <v/>
      </c>
      <c r="J27" s="218"/>
      <c r="K27" s="218"/>
      <c r="L27" s="219"/>
      <c r="M27" s="219"/>
      <c r="N27" s="219"/>
      <c r="O27" s="219"/>
      <c r="P27" s="219"/>
      <c r="Q27" s="219"/>
      <c r="R27" s="220"/>
      <c r="S27" s="221"/>
      <c r="T27" s="570">
        <v>7.0000000000000007E-2</v>
      </c>
      <c r="U27" s="569">
        <v>7.0000000000000007E-2</v>
      </c>
      <c r="V27" s="569">
        <v>7.0000000000000007E-2</v>
      </c>
      <c r="W27" s="569">
        <v>7.0000000000000007E-2</v>
      </c>
      <c r="X27" s="569">
        <v>0.125</v>
      </c>
      <c r="Y27" s="569">
        <v>0.125</v>
      </c>
      <c r="Z27" s="569">
        <v>0.11</v>
      </c>
      <c r="AA27" s="569">
        <v>0.11</v>
      </c>
      <c r="AB27" s="569">
        <v>0.1</v>
      </c>
      <c r="AC27" s="569">
        <v>0.1</v>
      </c>
      <c r="AD27" s="569">
        <v>0.05</v>
      </c>
      <c r="AE27" s="571"/>
      <c r="AF27" s="533"/>
    </row>
    <row r="28" spans="1:32" ht="0.2" hidden="1" customHeight="1" x14ac:dyDescent="0.2">
      <c r="D28" s="222">
        <f ca="1">IF($Q26=2,IF(AND(ACOMPANHAMENTO="PLE",ISNUMBER($E26)),SUMIF((OFFSET(CÁLCULO!$AM$15:$AW$15,$E26,0,OFFSET(ORÇAMENTO!$D$15,CRONO!$E26,0))),"="&amp;CRONO!D$12,OFFSET(CÁLCULO!$AB$15:$AL$15,$E26,0,OFFSET(ORÇAMENTO!$D$15,CRONO!$E26,0)))+IF(AND($E28&lt;&gt;"",$E28&lt;&gt;0),SUMIF(CÁLCULO!$AM$15:$AW$32,"="&amp;CRONO!D$12,CÁLCULO!$AB$15:$AL$32)/(ORÇAMENTO!$X$15-CÁLCULO.TotalAdmLocal)*CRONO!$E28,0),D27*$R26),SUMIF(OFFSET($R28,1,0,$Q26-2),($L26+1)&amp;"$",OFFSET(D28,1,0,$Q26-2)))</f>
        <v>0</v>
      </c>
      <c r="E28" s="203">
        <f ca="1">IF(OR($Q26&lt;&gt;2,AUTOEVENTO&lt;&gt;"manual",$E27&gt;0),"",SUMIF(OFFSET(CÁLCULO!$M$15,CRONO!$E26,0,OFFSET(ORÇAMENTO!$D$15,CRONO!$E26,0)),1,OFFSET(ORÇAMENTO!$X$15,CRONO!$E26,0,OFFSET(ORÇAMENTO!$D$15,CRONO!$E26,0))))</f>
        <v>0</v>
      </c>
      <c r="G28" s="223"/>
      <c r="R28" s="224" t="str">
        <f ca="1">L26&amp;"$"</f>
        <v>2$</v>
      </c>
      <c r="S28" s="225"/>
      <c r="T28" s="226">
        <f ca="1">IF($Q26=2,IF(AND(ACOMPANHAMENTO="PLE",ISNUMBER($E26)),SUMIF((OFFSET(CÁLCULO!$AM$15:$AW$15,$E26,0,OFFSET(ORÇAMENTO!$D$15,CRONO!$E26,0))),"&lt;="&amp;CRONO!T$12,OFFSET(CÁLCULO!$AB$15:$AL$15,$E26,0,OFFSET(ORÇAMENTO!$D$15,CRONO!$E26,0)))+IF(AND($E28&lt;&gt;"",$E28&lt;&gt;0),SUMIF(CÁLCULO!$AM$15:$AW$32,"&lt;="&amp;CRONO!T$12,CÁLCULO!$AB$15:$AL$32)/(ORÇAMENTO!$X$15-CÁLCULO.TotalAdmLocal)*CRONO!$E28,0),T27*$R26),SUMIF(OFFSET($R28,1,0,$Q26-2),($L26+1)&amp;"$",OFFSET(T28,1,0,$Q26-2)))</f>
        <v>0</v>
      </c>
      <c r="U28" s="222">
        <f ca="1">IF($Q26=2,IF(AND(ACOMPANHAMENTO="PLE",ISNUMBER($E26)),SUMIF((OFFSET(CÁLCULO!$AM$15:$AW$15,$E26,0,OFFSET(ORÇAMENTO!$D$15,CRONO!$E26,0))),"="&amp;CRONO!U$12,OFFSET(CÁLCULO!$AB$15:$AL$15,$E26,0,OFFSET(ORÇAMENTO!$D$15,CRONO!$E26,0)))+IF(AND($E28&lt;&gt;"",$E28&lt;&gt;0),SUMIF(CÁLCULO!$AM$15:$AW$32,"="&amp;CRONO!U$12,CÁLCULO!$AB$15:$AL$32)/(ORÇAMENTO!$X$15-CÁLCULO.TotalAdmLocal)*CRONO!$E28,0),U27*$R26),SUMIF(OFFSET($R28,1,0,$Q26-2),($L26+1)&amp;"$",OFFSET(U28,1,0,$Q26-2)))</f>
        <v>0</v>
      </c>
      <c r="V28" s="222">
        <f ca="1">IF($Q26=2,IF(AND(ACOMPANHAMENTO="PLE",ISNUMBER($E26)),SUMIF((OFFSET(CÁLCULO!$AM$15:$AW$15,$E26,0,OFFSET(ORÇAMENTO!$D$15,CRONO!$E26,0))),"="&amp;CRONO!V$12,OFFSET(CÁLCULO!$AB$15:$AL$15,$E26,0,OFFSET(ORÇAMENTO!$D$15,CRONO!$E26,0)))+IF(AND($E28&lt;&gt;"",$E28&lt;&gt;0),SUMIF(CÁLCULO!$AM$15:$AW$32,"="&amp;CRONO!V$12,CÁLCULO!$AB$15:$AL$32)/(ORÇAMENTO!$X$15-CÁLCULO.TotalAdmLocal)*CRONO!$E28,0),V27*$R26),SUMIF(OFFSET($R28,1,0,$Q26-2),($L26+1)&amp;"$",OFFSET(V28,1,0,$Q26-2)))</f>
        <v>0</v>
      </c>
      <c r="W28" s="222">
        <f ca="1">IF($Q26=2,IF(AND(ACOMPANHAMENTO="PLE",ISNUMBER($E26)),SUMIF((OFFSET(CÁLCULO!$AM$15:$AW$15,$E26,0,OFFSET(ORÇAMENTO!$D$15,CRONO!$E26,0))),"="&amp;CRONO!W$12,OFFSET(CÁLCULO!$AB$15:$AL$15,$E26,0,OFFSET(ORÇAMENTO!$D$15,CRONO!$E26,0)))+IF(AND($E28&lt;&gt;"",$E28&lt;&gt;0),SUMIF(CÁLCULO!$AM$15:$AW$32,"="&amp;CRONO!W$12,CÁLCULO!$AB$15:$AL$32)/(ORÇAMENTO!$X$15-CÁLCULO.TotalAdmLocal)*CRONO!$E28,0),W27*$R26),SUMIF(OFFSET($R28,1,0,$Q26-2),($L26+1)&amp;"$",OFFSET(W28,1,0,$Q26-2)))</f>
        <v>0</v>
      </c>
      <c r="X28" s="222">
        <f ca="1">IF($Q26=2,IF(AND(ACOMPANHAMENTO="PLE",ISNUMBER($E26)),SUMIF((OFFSET(CÁLCULO!$AM$15:$AW$15,$E26,0,OFFSET(ORÇAMENTO!$D$15,CRONO!$E26,0))),"="&amp;CRONO!X$12,OFFSET(CÁLCULO!$AB$15:$AL$15,$E26,0,OFFSET(ORÇAMENTO!$D$15,CRONO!$E26,0)))+IF(AND($E28&lt;&gt;"",$E28&lt;&gt;0),SUMIF(CÁLCULO!$AM$15:$AW$32,"="&amp;CRONO!X$12,CÁLCULO!$AB$15:$AL$32)/(ORÇAMENTO!$X$15-CÁLCULO.TotalAdmLocal)*CRONO!$E28,0),X27*$R26),SUMIF(OFFSET($R28,1,0,$Q26-2),($L26+1)&amp;"$",OFFSET(X28,1,0,$Q26-2)))</f>
        <v>0</v>
      </c>
      <c r="Y28" s="222">
        <f ca="1">IF($Q26=2,IF(AND(ACOMPANHAMENTO="PLE",ISNUMBER($E26)),SUMIF((OFFSET(CÁLCULO!$AM$15:$AW$15,$E26,0,OFFSET(ORÇAMENTO!$D$15,CRONO!$E26,0))),"="&amp;CRONO!Y$12,OFFSET(CÁLCULO!$AB$15:$AL$15,$E26,0,OFFSET(ORÇAMENTO!$D$15,CRONO!$E26,0)))+IF(AND($E28&lt;&gt;"",$E28&lt;&gt;0),SUMIF(CÁLCULO!$AM$15:$AW$32,"="&amp;CRONO!Y$12,CÁLCULO!$AB$15:$AL$32)/(ORÇAMENTO!$X$15-CÁLCULO.TotalAdmLocal)*CRONO!$E28,0),Y27*$R26),SUMIF(OFFSET($R28,1,0,$Q26-2),($L26+1)&amp;"$",OFFSET(Y28,1,0,$Q26-2)))</f>
        <v>0</v>
      </c>
      <c r="Z28" s="222">
        <f ca="1">IF($Q26=2,IF(AND(ACOMPANHAMENTO="PLE",ISNUMBER($E26)),SUMIF((OFFSET(CÁLCULO!$AM$15:$AW$15,$E26,0,OFFSET(ORÇAMENTO!$D$15,CRONO!$E26,0))),"="&amp;CRONO!Z$12,OFFSET(CÁLCULO!$AB$15:$AL$15,$E26,0,OFFSET(ORÇAMENTO!$D$15,CRONO!$E26,0)))+IF(AND($E28&lt;&gt;"",$E28&lt;&gt;0),SUMIF(CÁLCULO!$AM$15:$AW$32,"="&amp;CRONO!Z$12,CÁLCULO!$AB$15:$AL$32)/(ORÇAMENTO!$X$15-CÁLCULO.TotalAdmLocal)*CRONO!$E28,0),Z27*$R26),SUMIF(OFFSET($R28,1,0,$Q26-2),($L26+1)&amp;"$",OFFSET(Z28,1,0,$Q26-2)))</f>
        <v>0</v>
      </c>
      <c r="AA28" s="222">
        <f ca="1">IF($Q26=2,IF(AND(ACOMPANHAMENTO="PLE",ISNUMBER($E26)),SUMIF((OFFSET(CÁLCULO!$AM$15:$AW$15,$E26,0,OFFSET(ORÇAMENTO!$D$15,CRONO!$E26,0))),"="&amp;CRONO!AA$12,OFFSET(CÁLCULO!$AB$15:$AL$15,$E26,0,OFFSET(ORÇAMENTO!$D$15,CRONO!$E26,0)))+IF(AND($E28&lt;&gt;"",$E28&lt;&gt;0),SUMIF(CÁLCULO!$AM$15:$AW$32,"="&amp;CRONO!AA$12,CÁLCULO!$AB$15:$AL$32)/(ORÇAMENTO!$X$15-CÁLCULO.TotalAdmLocal)*CRONO!$E28,0),AA27*$R26),SUMIF(OFFSET($R28,1,0,$Q26-2),($L26+1)&amp;"$",OFFSET(AA28,1,0,$Q26-2)))</f>
        <v>0</v>
      </c>
      <c r="AB28" s="222">
        <f ca="1">IF($Q26=2,IF(AND(ACOMPANHAMENTO="PLE",ISNUMBER($E26)),SUMIF((OFFSET(CÁLCULO!$AM$15:$AW$15,$E26,0,OFFSET(ORÇAMENTO!$D$15,CRONO!$E26,0))),"="&amp;CRONO!AB$12,OFFSET(CÁLCULO!$AB$15:$AL$15,$E26,0,OFFSET(ORÇAMENTO!$D$15,CRONO!$E26,0)))+IF(AND($E28&lt;&gt;"",$E28&lt;&gt;0),SUMIF(CÁLCULO!$AM$15:$AW$32,"="&amp;CRONO!AB$12,CÁLCULO!$AB$15:$AL$32)/(ORÇAMENTO!$X$15-CÁLCULO.TotalAdmLocal)*CRONO!$E28,0),AB27*$R26),SUMIF(OFFSET($R28,1,0,$Q26-2),($L26+1)&amp;"$",OFFSET(AB28,1,0,$Q26-2)))</f>
        <v>0</v>
      </c>
      <c r="AC28" s="222">
        <f ca="1">IF($Q26=2,IF(AND(ACOMPANHAMENTO="PLE",ISNUMBER($E26)),SUMIF((OFFSET(CÁLCULO!$AM$15:$AW$15,$E26,0,OFFSET(ORÇAMENTO!$D$15,CRONO!$E26,0))),"="&amp;CRONO!AC$12,OFFSET(CÁLCULO!$AB$15:$AL$15,$E26,0,OFFSET(ORÇAMENTO!$D$15,CRONO!$E26,0)))+IF(AND($E28&lt;&gt;"",$E28&lt;&gt;0),SUMIF(CÁLCULO!$AM$15:$AW$32,"="&amp;CRONO!AC$12,CÁLCULO!$AB$15:$AL$32)/(ORÇAMENTO!$X$15-CÁLCULO.TotalAdmLocal)*CRONO!$E28,0),AC27*$R26),SUMIF(OFFSET($R28,1,0,$Q26-2),($L26+1)&amp;"$",OFFSET(AC28,1,0,$Q26-2)))</f>
        <v>0</v>
      </c>
      <c r="AD28" s="222">
        <f ca="1">IF($Q26=2,IF(AND(ACOMPANHAMENTO="PLE",ISNUMBER($E26)),SUMIF((OFFSET(CÁLCULO!$AM$15:$AW$15,$E26,0,OFFSET(ORÇAMENTO!$D$15,CRONO!$E26,0))),"="&amp;CRONO!AD$12,OFFSET(CÁLCULO!$AB$15:$AL$15,$E26,0,OFFSET(ORÇAMENTO!$D$15,CRONO!$E26,0)))+IF(AND($E28&lt;&gt;"",$E28&lt;&gt;0),SUMIF(CÁLCULO!$AM$15:$AW$32,"="&amp;CRONO!AD$12,CÁLCULO!$AB$15:$AL$32)/(ORÇAMENTO!$X$15-CÁLCULO.TotalAdmLocal)*CRONO!$E28,0),AD27*$R26),SUMIF(OFFSET($R28,1,0,$Q26-2),($L26+1)&amp;"$",OFFSET(AD28,1,0,$Q26-2)))</f>
        <v>0</v>
      </c>
      <c r="AE28" s="227">
        <f ca="1">IF($Q26=2,IF(AND(ACOMPANHAMENTO="PLE",ISNUMBER($E26)),SUMIF((OFFSET(CÁLCULO!$AM$15:$AW$15,$E26,0,OFFSET(ORÇAMENTO!$D$15,CRONO!$E26,0))),"="&amp;CRONO!AE$12,OFFSET(CÁLCULO!$AB$15:$AL$15,$E26,0,OFFSET(ORÇAMENTO!$D$15,CRONO!$E26,0)))+IF(AND($E28&lt;&gt;"",$E28&lt;&gt;0),SUMIF(CÁLCULO!$AM$15:$AW$32,"="&amp;CRONO!AE$12,CÁLCULO!$AB$15:$AL$32)/(ORÇAMENTO!$X$15-CÁLCULO.TotalAdmLocal)*CRONO!$E28,0),AE27*$R26),SUMIF(OFFSET($R28,1,0,$Q26-2),($L26+1)&amp;"$",OFFSET(AE28,1,0,$Q26-2)))</f>
        <v>0</v>
      </c>
    </row>
    <row r="29" spans="1:32" x14ac:dyDescent="0.2">
      <c r="A29" s="203">
        <f ca="1">OFFSET(A29,-3,0)+1</f>
        <v>6</v>
      </c>
      <c r="B29" s="203">
        <f ca="1">IF($Q29&lt;&gt;2,0,IF($R29=0,1,IF(E30&gt;0,OFFSET(QCI!$M$13,SUBSTITUTE(E30,".",""),0),OFFSET(ORÇAMENTO!$AA$15,CRONO!$E29,0))/$R29))</f>
        <v>1</v>
      </c>
      <c r="C29" s="203">
        <f ca="1">IF($Q29&lt;&gt;2,0,IF($R29=0,1,IF(E30&gt;0,OFFSET(QCI!$N$13,SUBSTITUTE(E30,".",""),0),OFFSET(ORÇAMENTO!$AB$15,CRONO!$E29,0))/$R29))</f>
        <v>1</v>
      </c>
      <c r="D29" s="206" t="e">
        <f ca="1">IF(AND($Q29=2,ACOMPANHAMENTO="BM"),D30,D31/$R29)</f>
        <v>#DIV/0!</v>
      </c>
      <c r="E29" s="203">
        <f ca="1">IF(A29&lt;=ORÇAMENTO.MáximoListaCrono,MATCH(A29,ORÇAMENTO.ListaCrono,0),NA())</f>
        <v>14</v>
      </c>
      <c r="F29" s="203" t="str">
        <f ca="1">IF(AND($E30&lt;&gt;-1,$R29&gt;0),"F","")</f>
        <v/>
      </c>
      <c r="G29" s="207" t="str">
        <f ca="1">IF(OR(R29=0,R29=""),"Linha",IF(AND(OR(ACOMPANHAMENTO="PLE",$Q29&lt;&gt;2),$E30=0),"Linha",1-SUM(T29:AF29)))</f>
        <v>Linha</v>
      </c>
      <c r="H29" s="208" t="str">
        <f ca="1">IF($E30=0,OFFSET(ORÇAMENTO!O$15,$E29,0),IF($E30&lt;&gt;-1,OFFSET(QCI!$D$13,$E30,0),""))</f>
        <v>1.5.</v>
      </c>
      <c r="I29" s="209" t="str">
        <f ca="1">IF($E30=0,OFFSET(ORÇAMENTO!R$15,$E29,0),IF($E30&lt;&gt;-1,OFFSET(QCI!$G$13,$E30,0),""))</f>
        <v>SINALIZAÇÃO VERTICAL</v>
      </c>
      <c r="J29" s="209"/>
      <c r="K29" s="209"/>
      <c r="L29" s="210">
        <f ca="1">IF($E30=0,OFFSET(ORÇAMENTO!C$15,$E29,0),1)</f>
        <v>2</v>
      </c>
      <c r="M29" s="211">
        <f ca="1">IF($E30=-1,0,IF(M$13&lt;=$L29,IF(ISERROR(MATCH(M$13,OFFSET($L29,1,0,ROW($L$32)-ROW($L29)-1),0)),ROW($L$32)-ROW($L29)-1,MATCH(M$13,OFFSET($L29,1,0,ROW($L$32)-ROW($L29)-1),0)-1),0))</f>
        <v>2</v>
      </c>
      <c r="N29" s="211">
        <f ca="1">IF($E30=-1,0,IF(N$13&lt;=$L29,IF(ISERROR(MATCH(N$13,OFFSET($L29,1,0,ROW($L$32)-ROW($L29)-1),0)),ROW($L$32)-ROW($L29)-1,MATCH(N$13,OFFSET($L29,1,0,ROW($L$32)-ROW($L29)-1),0)-1),0))</f>
        <v>2</v>
      </c>
      <c r="O29" s="211">
        <f ca="1">IF($E30=-1,0,IF(O$13&lt;=$L29,IF(ISERROR(MATCH(O$13,OFFSET($L29,1,0,ROW($L$32)-ROW($L29)-1),0)),ROW($L$32)-ROW($L29)-1,MATCH(O$13,OFFSET($L29,1,0,ROW($L$32)-ROW($L29)-1),0)-1),0))</f>
        <v>0</v>
      </c>
      <c r="P29" s="211">
        <f ca="1">IF($E30=-1,0,IF(P$13&lt;=$L29,IF(ISERROR(MATCH(P$13,OFFSET($L29,1,0,ROW($L$32)-ROW($L29)-1),0)),ROW($L$32)-ROW($L29)-1,MATCH(P$13,OFFSET($L29,1,0,ROW($L$32)-ROW($L29)-1),0)-1),0))</f>
        <v>0</v>
      </c>
      <c r="Q29" s="211">
        <f ca="1">MIN(OFFSET(L29,0,1,,L29))</f>
        <v>2</v>
      </c>
      <c r="R29" s="212">
        <f ca="1">IF($E30=0,OFFSET(ORÇAMENTO!X$15,$E29,0),IF($E30&lt;&gt;-1,OFFSET(QCI!$O$13,$E30,0),""))</f>
        <v>0</v>
      </c>
      <c r="S29" s="213" t="s">
        <v>272</v>
      </c>
      <c r="T29" s="214" t="e">
        <f t="shared" ref="T29:AE29" ca="1" si="8">IF(AND($Q29=2,ACOMPANHAMENTO="BM"),T30,T31/$R29)</f>
        <v>#DIV/0!</v>
      </c>
      <c r="U29" s="206" t="e">
        <f t="shared" ca="1" si="8"/>
        <v>#DIV/0!</v>
      </c>
      <c r="V29" s="206" t="e">
        <f t="shared" ca="1" si="8"/>
        <v>#DIV/0!</v>
      </c>
      <c r="W29" s="206" t="e">
        <f t="shared" ca="1" si="8"/>
        <v>#DIV/0!</v>
      </c>
      <c r="X29" s="206" t="e">
        <f t="shared" ca="1" si="8"/>
        <v>#DIV/0!</v>
      </c>
      <c r="Y29" s="206" t="e">
        <f t="shared" ca="1" si="8"/>
        <v>#DIV/0!</v>
      </c>
      <c r="Z29" s="206" t="e">
        <f t="shared" ca="1" si="8"/>
        <v>#DIV/0!</v>
      </c>
      <c r="AA29" s="206" t="e">
        <f t="shared" ca="1" si="8"/>
        <v>#DIV/0!</v>
      </c>
      <c r="AB29" s="206" t="e">
        <f t="shared" ca="1" si="8"/>
        <v>#DIV/0!</v>
      </c>
      <c r="AC29" s="206" t="e">
        <f t="shared" ca="1" si="8"/>
        <v>#DIV/0!</v>
      </c>
      <c r="AD29" s="206" t="e">
        <f t="shared" ca="1" si="8"/>
        <v>#DIV/0!</v>
      </c>
      <c r="AE29" s="215" t="e">
        <f t="shared" ca="1" si="8"/>
        <v>#DIV/0!</v>
      </c>
    </row>
    <row r="30" spans="1:32" ht="12.75" customHeight="1" x14ac:dyDescent="0.2">
      <c r="D30" s="569"/>
      <c r="E30" s="203">
        <f ca="1">IF(ISERROR(E29),IF(1+COUNTIF($L$13:OFFSET(L29,-1,0),1)&lt;=MAX(QCI!$D$13:$D$15),1+COUNTIF($L$13:OFFSET(L29,-1,0),1),-1),0)</f>
        <v>0</v>
      </c>
      <c r="F30" s="203" t="str">
        <f ca="1">IF(AND($E30&lt;&gt;-1,$R29&gt;0),"F","")</f>
        <v/>
      </c>
      <c r="G30" s="216" t="str">
        <f ca="1">IF(OR(R29=0,R29=""),"vazia",IF(AND(OR(ACOMPANHAMENTO="PLE",$Q29&lt;&gt;2),$E30=0),"calculada","--&gt;"))</f>
        <v>vazia</v>
      </c>
      <c r="H30" s="217"/>
      <c r="I30" s="218" t="str">
        <f ca="1">IF(AND(G29&lt;&gt;0,ISNUMBER(G29)),"PREENCHA ESTA LINHA --&gt;","")</f>
        <v/>
      </c>
      <c r="J30" s="218"/>
      <c r="K30" s="218"/>
      <c r="L30" s="219"/>
      <c r="M30" s="219"/>
      <c r="N30" s="219"/>
      <c r="O30" s="219"/>
      <c r="P30" s="219"/>
      <c r="Q30" s="219"/>
      <c r="R30" s="220"/>
      <c r="S30" s="221"/>
      <c r="T30" s="570"/>
      <c r="U30" s="569"/>
      <c r="V30" s="569"/>
      <c r="W30" s="569">
        <v>0.34</v>
      </c>
      <c r="X30" s="569"/>
      <c r="Y30" s="569">
        <v>0.34</v>
      </c>
      <c r="Z30" s="569"/>
      <c r="AA30" s="569">
        <v>0.16</v>
      </c>
      <c r="AB30" s="569"/>
      <c r="AC30" s="569"/>
      <c r="AD30" s="569">
        <v>0.16</v>
      </c>
      <c r="AE30" s="571"/>
      <c r="AF30" s="533"/>
    </row>
    <row r="31" spans="1:32" ht="0.2" hidden="1" customHeight="1" x14ac:dyDescent="0.2">
      <c r="D31" s="222">
        <f ca="1">IF($Q29=2,IF(AND(ACOMPANHAMENTO="PLE",ISNUMBER($E29)),SUMIF((OFFSET(CÁLCULO!$AM$15:$AW$15,$E29,0,OFFSET(ORÇAMENTO!$D$15,CRONO!$E29,0))),"="&amp;CRONO!D$12,OFFSET(CÁLCULO!$AB$15:$AL$15,$E29,0,OFFSET(ORÇAMENTO!$D$15,CRONO!$E29,0)))+IF(AND($E31&lt;&gt;"",$E31&lt;&gt;0),SUMIF(CÁLCULO!$AM$15:$AW$32,"="&amp;CRONO!D$12,CÁLCULO!$AB$15:$AL$32)/(ORÇAMENTO!$X$15-CÁLCULO.TotalAdmLocal)*CRONO!$E31,0),D30*$R29),SUMIF(OFFSET($R31,1,0,$Q29-2),($L29+1)&amp;"$",OFFSET(D31,1,0,$Q29-2)))</f>
        <v>0</v>
      </c>
      <c r="E31" s="203">
        <f ca="1">IF(OR($Q29&lt;&gt;2,AUTOEVENTO&lt;&gt;"manual",$E30&gt;0),"",SUMIF(OFFSET(CÁLCULO!$M$15,CRONO!$E29,0,OFFSET(ORÇAMENTO!$D$15,CRONO!$E29,0)),1,OFFSET(ORÇAMENTO!$X$15,CRONO!$E29,0,OFFSET(ORÇAMENTO!$D$15,CRONO!$E29,0))))</f>
        <v>0</v>
      </c>
      <c r="G31" s="223"/>
      <c r="R31" s="224" t="str">
        <f ca="1">L29&amp;"$"</f>
        <v>2$</v>
      </c>
      <c r="S31" s="225"/>
      <c r="T31" s="226">
        <f ca="1">IF($Q29=2,IF(AND(ACOMPANHAMENTO="PLE",ISNUMBER($E29)),SUMIF((OFFSET(CÁLCULO!$AM$15:$AW$15,$E29,0,OFFSET(ORÇAMENTO!$D$15,CRONO!$E29,0))),"&lt;="&amp;CRONO!T$12,OFFSET(CÁLCULO!$AB$15:$AL$15,$E29,0,OFFSET(ORÇAMENTO!$D$15,CRONO!$E29,0)))+IF(AND($E31&lt;&gt;"",$E31&lt;&gt;0),SUMIF(CÁLCULO!$AM$15:$AW$32,"&lt;="&amp;CRONO!T$12,CÁLCULO!$AB$15:$AL$32)/(ORÇAMENTO!$X$15-CÁLCULO.TotalAdmLocal)*CRONO!$E31,0),T30*$R29),SUMIF(OFFSET($R31,1,0,$Q29-2),($L29+1)&amp;"$",OFFSET(T31,1,0,$Q29-2)))</f>
        <v>0</v>
      </c>
      <c r="U31" s="222">
        <f ca="1">IF($Q29=2,IF(AND(ACOMPANHAMENTO="PLE",ISNUMBER($E29)),SUMIF((OFFSET(CÁLCULO!$AM$15:$AW$15,$E29,0,OFFSET(ORÇAMENTO!$D$15,CRONO!$E29,0))),"="&amp;CRONO!U$12,OFFSET(CÁLCULO!$AB$15:$AL$15,$E29,0,OFFSET(ORÇAMENTO!$D$15,CRONO!$E29,0)))+IF(AND($E31&lt;&gt;"",$E31&lt;&gt;0),SUMIF(CÁLCULO!$AM$15:$AW$32,"="&amp;CRONO!U$12,CÁLCULO!$AB$15:$AL$32)/(ORÇAMENTO!$X$15-CÁLCULO.TotalAdmLocal)*CRONO!$E31,0),U30*$R29),SUMIF(OFFSET($R31,1,0,$Q29-2),($L29+1)&amp;"$",OFFSET(U31,1,0,$Q29-2)))</f>
        <v>0</v>
      </c>
      <c r="V31" s="222">
        <f ca="1">IF($Q29=2,IF(AND(ACOMPANHAMENTO="PLE",ISNUMBER($E29)),SUMIF((OFFSET(CÁLCULO!$AM$15:$AW$15,$E29,0,OFFSET(ORÇAMENTO!$D$15,CRONO!$E29,0))),"="&amp;CRONO!V$12,OFFSET(CÁLCULO!$AB$15:$AL$15,$E29,0,OFFSET(ORÇAMENTO!$D$15,CRONO!$E29,0)))+IF(AND($E31&lt;&gt;"",$E31&lt;&gt;0),SUMIF(CÁLCULO!$AM$15:$AW$32,"="&amp;CRONO!V$12,CÁLCULO!$AB$15:$AL$32)/(ORÇAMENTO!$X$15-CÁLCULO.TotalAdmLocal)*CRONO!$E31,0),V30*$R29),SUMIF(OFFSET($R31,1,0,$Q29-2),($L29+1)&amp;"$",OFFSET(V31,1,0,$Q29-2)))</f>
        <v>0</v>
      </c>
      <c r="W31" s="222">
        <f ca="1">IF($Q29=2,IF(AND(ACOMPANHAMENTO="PLE",ISNUMBER($E29)),SUMIF((OFFSET(CÁLCULO!$AM$15:$AW$15,$E29,0,OFFSET(ORÇAMENTO!$D$15,CRONO!$E29,0))),"="&amp;CRONO!W$12,OFFSET(CÁLCULO!$AB$15:$AL$15,$E29,0,OFFSET(ORÇAMENTO!$D$15,CRONO!$E29,0)))+IF(AND($E31&lt;&gt;"",$E31&lt;&gt;0),SUMIF(CÁLCULO!$AM$15:$AW$32,"="&amp;CRONO!W$12,CÁLCULO!$AB$15:$AL$32)/(ORÇAMENTO!$X$15-CÁLCULO.TotalAdmLocal)*CRONO!$E31,0),W30*$R29),SUMIF(OFFSET($R31,1,0,$Q29-2),($L29+1)&amp;"$",OFFSET(W31,1,0,$Q29-2)))</f>
        <v>0</v>
      </c>
      <c r="X31" s="222">
        <f ca="1">IF($Q29=2,IF(AND(ACOMPANHAMENTO="PLE",ISNUMBER($E29)),SUMIF((OFFSET(CÁLCULO!$AM$15:$AW$15,$E29,0,OFFSET(ORÇAMENTO!$D$15,CRONO!$E29,0))),"="&amp;CRONO!X$12,OFFSET(CÁLCULO!$AB$15:$AL$15,$E29,0,OFFSET(ORÇAMENTO!$D$15,CRONO!$E29,0)))+IF(AND($E31&lt;&gt;"",$E31&lt;&gt;0),SUMIF(CÁLCULO!$AM$15:$AW$32,"="&amp;CRONO!X$12,CÁLCULO!$AB$15:$AL$32)/(ORÇAMENTO!$X$15-CÁLCULO.TotalAdmLocal)*CRONO!$E31,0),X30*$R29),SUMIF(OFFSET($R31,1,0,$Q29-2),($L29+1)&amp;"$",OFFSET(X31,1,0,$Q29-2)))</f>
        <v>0</v>
      </c>
      <c r="Y31" s="222">
        <f ca="1">IF($Q29=2,IF(AND(ACOMPANHAMENTO="PLE",ISNUMBER($E29)),SUMIF((OFFSET(CÁLCULO!$AM$15:$AW$15,$E29,0,OFFSET(ORÇAMENTO!$D$15,CRONO!$E29,0))),"="&amp;CRONO!Y$12,OFFSET(CÁLCULO!$AB$15:$AL$15,$E29,0,OFFSET(ORÇAMENTO!$D$15,CRONO!$E29,0)))+IF(AND($E31&lt;&gt;"",$E31&lt;&gt;0),SUMIF(CÁLCULO!$AM$15:$AW$32,"="&amp;CRONO!Y$12,CÁLCULO!$AB$15:$AL$32)/(ORÇAMENTO!$X$15-CÁLCULO.TotalAdmLocal)*CRONO!$E31,0),Y30*$R29),SUMIF(OFFSET($R31,1,0,$Q29-2),($L29+1)&amp;"$",OFFSET(Y31,1,0,$Q29-2)))</f>
        <v>0</v>
      </c>
      <c r="Z31" s="222">
        <f ca="1">IF($Q29=2,IF(AND(ACOMPANHAMENTO="PLE",ISNUMBER($E29)),SUMIF((OFFSET(CÁLCULO!$AM$15:$AW$15,$E29,0,OFFSET(ORÇAMENTO!$D$15,CRONO!$E29,0))),"="&amp;CRONO!Z$12,OFFSET(CÁLCULO!$AB$15:$AL$15,$E29,0,OFFSET(ORÇAMENTO!$D$15,CRONO!$E29,0)))+IF(AND($E31&lt;&gt;"",$E31&lt;&gt;0),SUMIF(CÁLCULO!$AM$15:$AW$32,"="&amp;CRONO!Z$12,CÁLCULO!$AB$15:$AL$32)/(ORÇAMENTO!$X$15-CÁLCULO.TotalAdmLocal)*CRONO!$E31,0),Z30*$R29),SUMIF(OFFSET($R31,1,0,$Q29-2),($L29+1)&amp;"$",OFFSET(Z31,1,0,$Q29-2)))</f>
        <v>0</v>
      </c>
      <c r="AA31" s="222">
        <f ca="1">IF($Q29=2,IF(AND(ACOMPANHAMENTO="PLE",ISNUMBER($E29)),SUMIF((OFFSET(CÁLCULO!$AM$15:$AW$15,$E29,0,OFFSET(ORÇAMENTO!$D$15,CRONO!$E29,0))),"="&amp;CRONO!AA$12,OFFSET(CÁLCULO!$AB$15:$AL$15,$E29,0,OFFSET(ORÇAMENTO!$D$15,CRONO!$E29,0)))+IF(AND($E31&lt;&gt;"",$E31&lt;&gt;0),SUMIF(CÁLCULO!$AM$15:$AW$32,"="&amp;CRONO!AA$12,CÁLCULO!$AB$15:$AL$32)/(ORÇAMENTO!$X$15-CÁLCULO.TotalAdmLocal)*CRONO!$E31,0),AA30*$R29),SUMIF(OFFSET($R31,1,0,$Q29-2),($L29+1)&amp;"$",OFFSET(AA31,1,0,$Q29-2)))</f>
        <v>0</v>
      </c>
      <c r="AB31" s="222">
        <f ca="1">IF($Q29=2,IF(AND(ACOMPANHAMENTO="PLE",ISNUMBER($E29)),SUMIF((OFFSET(CÁLCULO!$AM$15:$AW$15,$E29,0,OFFSET(ORÇAMENTO!$D$15,CRONO!$E29,0))),"="&amp;CRONO!AB$12,OFFSET(CÁLCULO!$AB$15:$AL$15,$E29,0,OFFSET(ORÇAMENTO!$D$15,CRONO!$E29,0)))+IF(AND($E31&lt;&gt;"",$E31&lt;&gt;0),SUMIF(CÁLCULO!$AM$15:$AW$32,"="&amp;CRONO!AB$12,CÁLCULO!$AB$15:$AL$32)/(ORÇAMENTO!$X$15-CÁLCULO.TotalAdmLocal)*CRONO!$E31,0),AB30*$R29),SUMIF(OFFSET($R31,1,0,$Q29-2),($L29+1)&amp;"$",OFFSET(AB31,1,0,$Q29-2)))</f>
        <v>0</v>
      </c>
      <c r="AC31" s="222">
        <f ca="1">IF($Q29=2,IF(AND(ACOMPANHAMENTO="PLE",ISNUMBER($E29)),SUMIF((OFFSET(CÁLCULO!$AM$15:$AW$15,$E29,0,OFFSET(ORÇAMENTO!$D$15,CRONO!$E29,0))),"="&amp;CRONO!AC$12,OFFSET(CÁLCULO!$AB$15:$AL$15,$E29,0,OFFSET(ORÇAMENTO!$D$15,CRONO!$E29,0)))+IF(AND($E31&lt;&gt;"",$E31&lt;&gt;0),SUMIF(CÁLCULO!$AM$15:$AW$32,"="&amp;CRONO!AC$12,CÁLCULO!$AB$15:$AL$32)/(ORÇAMENTO!$X$15-CÁLCULO.TotalAdmLocal)*CRONO!$E31,0),AC30*$R29),SUMIF(OFFSET($R31,1,0,$Q29-2),($L29+1)&amp;"$",OFFSET(AC31,1,0,$Q29-2)))</f>
        <v>0</v>
      </c>
      <c r="AD31" s="222">
        <f ca="1">IF($Q29=2,IF(AND(ACOMPANHAMENTO="PLE",ISNUMBER($E29)),SUMIF((OFFSET(CÁLCULO!$AM$15:$AW$15,$E29,0,OFFSET(ORÇAMENTO!$D$15,CRONO!$E29,0))),"="&amp;CRONO!AD$12,OFFSET(CÁLCULO!$AB$15:$AL$15,$E29,0,OFFSET(ORÇAMENTO!$D$15,CRONO!$E29,0)))+IF(AND($E31&lt;&gt;"",$E31&lt;&gt;0),SUMIF(CÁLCULO!$AM$15:$AW$32,"="&amp;CRONO!AD$12,CÁLCULO!$AB$15:$AL$32)/(ORÇAMENTO!$X$15-CÁLCULO.TotalAdmLocal)*CRONO!$E31,0),AD30*$R29),SUMIF(OFFSET($R31,1,0,$Q29-2),($L29+1)&amp;"$",OFFSET(AD31,1,0,$Q29-2)))</f>
        <v>0</v>
      </c>
      <c r="AE31" s="227">
        <f ca="1">IF($Q29=2,IF(AND(ACOMPANHAMENTO="PLE",ISNUMBER($E29)),SUMIF((OFFSET(CÁLCULO!$AM$15:$AW$15,$E29,0,OFFSET(ORÇAMENTO!$D$15,CRONO!$E29,0))),"="&amp;CRONO!AE$12,OFFSET(CÁLCULO!$AB$15:$AL$15,$E29,0,OFFSET(ORÇAMENTO!$D$15,CRONO!$E29,0)))+IF(AND($E31&lt;&gt;"",$E31&lt;&gt;0),SUMIF(CÁLCULO!$AM$15:$AW$32,"="&amp;CRONO!AE$12,CÁLCULO!$AB$15:$AL$32)/(ORÇAMENTO!$X$15-CÁLCULO.TotalAdmLocal)*CRONO!$E31,0),AE30*$R29),SUMIF(OFFSET($R31,1,0,$Q29-2),($L29+1)&amp;"$",OFFSET(AE31,1,0,$Q29-2)))</f>
        <v>0</v>
      </c>
    </row>
    <row r="32" spans="1:32" ht="5.0999999999999996" customHeight="1" x14ac:dyDescent="0.2">
      <c r="D32" s="502"/>
      <c r="F32" s="203" t="s">
        <v>248</v>
      </c>
      <c r="G32" s="504"/>
      <c r="H32" s="505"/>
      <c r="I32" s="506"/>
      <c r="J32" s="506"/>
      <c r="K32" s="506"/>
      <c r="L32" s="507" t="s">
        <v>283</v>
      </c>
      <c r="M32" s="507"/>
      <c r="N32" s="507"/>
      <c r="O32" s="507"/>
      <c r="P32" s="507"/>
      <c r="Q32" s="507"/>
      <c r="R32" s="508"/>
      <c r="S32" s="508"/>
      <c r="T32" s="506"/>
      <c r="U32" s="506"/>
      <c r="V32" s="506"/>
      <c r="W32" s="506"/>
      <c r="X32" s="506"/>
      <c r="Y32" s="506"/>
      <c r="Z32" s="506"/>
      <c r="AA32" s="506"/>
      <c r="AB32" s="506"/>
      <c r="AC32" s="506"/>
      <c r="AD32" s="506"/>
      <c r="AE32" s="509"/>
      <c r="AF32" s="503"/>
    </row>
    <row r="33" spans="4:32" ht="12.75" customHeight="1" x14ac:dyDescent="0.2">
      <c r="D33" s="251" t="e">
        <f ca="1">D37/$Q$33</f>
        <v>#DIV/0!</v>
      </c>
      <c r="F33" s="203" t="s">
        <v>248</v>
      </c>
      <c r="H33" s="636" t="str">
        <f ca="1">"Total:    R$ "&amp;TEXT(Q33,"#.##0,00")</f>
        <v>Total:    R$ 0,00</v>
      </c>
      <c r="I33" s="636"/>
      <c r="J33" s="636"/>
      <c r="K33" s="252"/>
      <c r="Q33" s="253">
        <f ca="1">SUMIF(L12:L32,1,R12:R32)</f>
        <v>0</v>
      </c>
      <c r="R33" s="254"/>
      <c r="S33" s="255" t="s">
        <v>284</v>
      </c>
      <c r="T33" s="256" t="e">
        <f t="shared" ref="T33:AE33" ca="1" si="9">ROUND(T37,2)/$Q$33</f>
        <v>#DIV/0!</v>
      </c>
      <c r="U33" s="257" t="e">
        <f t="shared" ca="1" si="9"/>
        <v>#DIV/0!</v>
      </c>
      <c r="V33" s="257" t="e">
        <f t="shared" ca="1" si="9"/>
        <v>#DIV/0!</v>
      </c>
      <c r="W33" s="257" t="e">
        <f t="shared" ca="1" si="9"/>
        <v>#DIV/0!</v>
      </c>
      <c r="X33" s="257" t="e">
        <f t="shared" ca="1" si="9"/>
        <v>#DIV/0!</v>
      </c>
      <c r="Y33" s="257" t="e">
        <f t="shared" ca="1" si="9"/>
        <v>#DIV/0!</v>
      </c>
      <c r="Z33" s="257" t="e">
        <f t="shared" ca="1" si="9"/>
        <v>#DIV/0!</v>
      </c>
      <c r="AA33" s="257" t="e">
        <f t="shared" ca="1" si="9"/>
        <v>#DIV/0!</v>
      </c>
      <c r="AB33" s="257" t="e">
        <f t="shared" ca="1" si="9"/>
        <v>#DIV/0!</v>
      </c>
      <c r="AC33" s="257" t="e">
        <f t="shared" ca="1" si="9"/>
        <v>#DIV/0!</v>
      </c>
      <c r="AD33" s="257" t="e">
        <f t="shared" ca="1" si="9"/>
        <v>#DIV/0!</v>
      </c>
      <c r="AE33" s="258" t="e">
        <f t="shared" ca="1" si="9"/>
        <v>#DIV/0!</v>
      </c>
    </row>
    <row r="34" spans="4:32" ht="15" customHeight="1" x14ac:dyDescent="0.2">
      <c r="D34" s="259">
        <f ca="1">ROUND(D39,2)-ROUND(C39,2)</f>
        <v>0</v>
      </c>
      <c r="F34" s="203" t="s">
        <v>248</v>
      </c>
      <c r="H34" s="636"/>
      <c r="I34" s="636"/>
      <c r="J34" s="636"/>
      <c r="K34" s="260"/>
      <c r="Q34" s="253"/>
      <c r="R34" s="261"/>
      <c r="S34" s="262" t="str">
        <f>IF(import.recurso="FGTS","Financiamento:","Repasse:")</f>
        <v>Repasse:</v>
      </c>
      <c r="T34" s="263">
        <f ca="1">ROUND(T39,2)</f>
        <v>0</v>
      </c>
      <c r="U34" s="259">
        <f t="shared" ref="U34:AE34" ca="1" si="10">ROUND(U39,2)-ROUND(T39,2)</f>
        <v>0</v>
      </c>
      <c r="V34" s="259">
        <f t="shared" ca="1" si="10"/>
        <v>0</v>
      </c>
      <c r="W34" s="259">
        <f t="shared" ca="1" si="10"/>
        <v>0</v>
      </c>
      <c r="X34" s="259">
        <f t="shared" ca="1" si="10"/>
        <v>0</v>
      </c>
      <c r="Y34" s="259">
        <f t="shared" ca="1" si="10"/>
        <v>0</v>
      </c>
      <c r="Z34" s="259">
        <f t="shared" ca="1" si="10"/>
        <v>0</v>
      </c>
      <c r="AA34" s="259">
        <f t="shared" ca="1" si="10"/>
        <v>0</v>
      </c>
      <c r="AB34" s="259">
        <f t="shared" ca="1" si="10"/>
        <v>0</v>
      </c>
      <c r="AC34" s="259">
        <f t="shared" ca="1" si="10"/>
        <v>0</v>
      </c>
      <c r="AD34" s="259">
        <f t="shared" ca="1" si="10"/>
        <v>0</v>
      </c>
      <c r="AE34" s="264">
        <f t="shared" ca="1" si="10"/>
        <v>0</v>
      </c>
    </row>
    <row r="35" spans="4:32" ht="12.75" customHeight="1" x14ac:dyDescent="0.2">
      <c r="D35" s="259">
        <f ca="1">ROUND(D40,2)-ROUND(C40,2)</f>
        <v>0</v>
      </c>
      <c r="F35" s="203" t="s">
        <v>248</v>
      </c>
      <c r="H35" s="265"/>
      <c r="K35" s="266" t="s">
        <v>285</v>
      </c>
      <c r="Q35" s="253"/>
      <c r="R35" s="267"/>
      <c r="S35" s="268" t="s">
        <v>286</v>
      </c>
      <c r="T35" s="269">
        <f ca="1">ROUND(T40,2)</f>
        <v>0</v>
      </c>
      <c r="U35" s="270">
        <f t="shared" ref="U35:AE35" ca="1" si="11">ROUND(U40,2)-ROUND(T40,2)</f>
        <v>0</v>
      </c>
      <c r="V35" s="270">
        <f t="shared" ca="1" si="11"/>
        <v>0</v>
      </c>
      <c r="W35" s="270">
        <f t="shared" ca="1" si="11"/>
        <v>0</v>
      </c>
      <c r="X35" s="270">
        <f t="shared" ca="1" si="11"/>
        <v>0</v>
      </c>
      <c r="Y35" s="270">
        <f t="shared" ca="1" si="11"/>
        <v>0</v>
      </c>
      <c r="Z35" s="270">
        <f t="shared" ca="1" si="11"/>
        <v>0</v>
      </c>
      <c r="AA35" s="270">
        <f t="shared" ca="1" si="11"/>
        <v>0</v>
      </c>
      <c r="AB35" s="270">
        <f t="shared" ca="1" si="11"/>
        <v>0</v>
      </c>
      <c r="AC35" s="270">
        <f t="shared" ca="1" si="11"/>
        <v>0</v>
      </c>
      <c r="AD35" s="270">
        <f t="shared" ca="1" si="11"/>
        <v>0</v>
      </c>
      <c r="AE35" s="271">
        <f t="shared" ca="1" si="11"/>
        <v>0</v>
      </c>
    </row>
    <row r="36" spans="4:32" x14ac:dyDescent="0.2">
      <c r="D36" s="272">
        <f ca="1">ROUND(D41,2)-ROUND(C41,2)</f>
        <v>0</v>
      </c>
      <c r="F36" s="203" t="s">
        <v>248</v>
      </c>
      <c r="H36" s="265"/>
      <c r="K36" s="266"/>
      <c r="Q36" s="253"/>
      <c r="R36" s="273"/>
      <c r="S36" s="274" t="s">
        <v>287</v>
      </c>
      <c r="T36" s="275">
        <f ca="1">ROUND(T41,2)</f>
        <v>0</v>
      </c>
      <c r="U36" s="272">
        <f t="shared" ref="U36:AE36" ca="1" si="12">ROUND(U41,2)-ROUND(T41,2)</f>
        <v>0</v>
      </c>
      <c r="V36" s="272">
        <f t="shared" ca="1" si="12"/>
        <v>0</v>
      </c>
      <c r="W36" s="272">
        <f t="shared" ca="1" si="12"/>
        <v>0</v>
      </c>
      <c r="X36" s="272">
        <f t="shared" ca="1" si="12"/>
        <v>0</v>
      </c>
      <c r="Y36" s="272">
        <f t="shared" ca="1" si="12"/>
        <v>0</v>
      </c>
      <c r="Z36" s="272">
        <f t="shared" ca="1" si="12"/>
        <v>0</v>
      </c>
      <c r="AA36" s="272">
        <f t="shared" ca="1" si="12"/>
        <v>0</v>
      </c>
      <c r="AB36" s="272">
        <f t="shared" ca="1" si="12"/>
        <v>0</v>
      </c>
      <c r="AC36" s="272">
        <f t="shared" ca="1" si="12"/>
        <v>0</v>
      </c>
      <c r="AD36" s="272">
        <f t="shared" ca="1" si="12"/>
        <v>0</v>
      </c>
      <c r="AE36" s="276">
        <f t="shared" ca="1" si="12"/>
        <v>0</v>
      </c>
    </row>
    <row r="37" spans="4:32" x14ac:dyDescent="0.2">
      <c r="D37" s="277">
        <f ca="1">ROUND(D42,2)-ROUND(C42,2)</f>
        <v>0</v>
      </c>
      <c r="F37" s="203" t="s">
        <v>248</v>
      </c>
      <c r="K37" s="278"/>
      <c r="R37" s="279"/>
      <c r="S37" s="280" t="s">
        <v>288</v>
      </c>
      <c r="T37" s="281">
        <f ca="1">ROUND(T42,2)</f>
        <v>0</v>
      </c>
      <c r="U37" s="282">
        <f t="shared" ref="U37:AE37" ca="1" si="13">ROUND(U42,2)-ROUND(T42,2)</f>
        <v>0</v>
      </c>
      <c r="V37" s="282">
        <f t="shared" ca="1" si="13"/>
        <v>0</v>
      </c>
      <c r="W37" s="282">
        <f t="shared" ca="1" si="13"/>
        <v>0</v>
      </c>
      <c r="X37" s="282">
        <f t="shared" ca="1" si="13"/>
        <v>0</v>
      </c>
      <c r="Y37" s="282">
        <f t="shared" ca="1" si="13"/>
        <v>0</v>
      </c>
      <c r="Z37" s="282">
        <f t="shared" ca="1" si="13"/>
        <v>0</v>
      </c>
      <c r="AA37" s="282">
        <f t="shared" ca="1" si="13"/>
        <v>0</v>
      </c>
      <c r="AB37" s="282">
        <f t="shared" ca="1" si="13"/>
        <v>0</v>
      </c>
      <c r="AC37" s="282">
        <f t="shared" ca="1" si="13"/>
        <v>0</v>
      </c>
      <c r="AD37" s="282">
        <f t="shared" ca="1" si="13"/>
        <v>0</v>
      </c>
      <c r="AE37" s="283">
        <f t="shared" ca="1" si="13"/>
        <v>0</v>
      </c>
    </row>
    <row r="38" spans="4:32" x14ac:dyDescent="0.2">
      <c r="D38" s="251" t="e">
        <f ca="1">D42/$Q$33</f>
        <v>#DIV/0!</v>
      </c>
      <c r="F38" s="203" t="s">
        <v>248</v>
      </c>
      <c r="K38" s="252"/>
      <c r="R38" s="254"/>
      <c r="S38" s="255" t="s">
        <v>284</v>
      </c>
      <c r="T38" s="256" t="e">
        <f ca="1">ROUND(T42,2)/$Q$33</f>
        <v>#DIV/0!</v>
      </c>
      <c r="U38" s="257" t="e">
        <f t="shared" ref="U38:AE38" ca="1" si="14">ROUND(U42,2)/$Q$33</f>
        <v>#DIV/0!</v>
      </c>
      <c r="V38" s="257" t="e">
        <f t="shared" ca="1" si="14"/>
        <v>#DIV/0!</v>
      </c>
      <c r="W38" s="257" t="e">
        <f t="shared" ca="1" si="14"/>
        <v>#DIV/0!</v>
      </c>
      <c r="X38" s="257" t="e">
        <f t="shared" ca="1" si="14"/>
        <v>#DIV/0!</v>
      </c>
      <c r="Y38" s="257" t="e">
        <f t="shared" ca="1" si="14"/>
        <v>#DIV/0!</v>
      </c>
      <c r="Z38" s="257" t="e">
        <f t="shared" ca="1" si="14"/>
        <v>#DIV/0!</v>
      </c>
      <c r="AA38" s="257" t="e">
        <f t="shared" ca="1" si="14"/>
        <v>#DIV/0!</v>
      </c>
      <c r="AB38" s="257" t="e">
        <f t="shared" ca="1" si="14"/>
        <v>#DIV/0!</v>
      </c>
      <c r="AC38" s="257" t="e">
        <f t="shared" ca="1" si="14"/>
        <v>#DIV/0!</v>
      </c>
      <c r="AD38" s="257" t="e">
        <f t="shared" ca="1" si="14"/>
        <v>#DIV/0!</v>
      </c>
      <c r="AE38" s="258" t="e">
        <f t="shared" ca="1" si="14"/>
        <v>#DIV/0!</v>
      </c>
    </row>
    <row r="39" spans="4:32" x14ac:dyDescent="0.2">
      <c r="D39" s="259">
        <f ca="1">ROUND(D42-D41-D40,2)</f>
        <v>0</v>
      </c>
      <c r="F39" s="203" t="s">
        <v>248</v>
      </c>
      <c r="K39" s="260"/>
      <c r="R39" s="261"/>
      <c r="S39" s="262" t="str">
        <f>IF(import.recurso="FGTS","Financiamento:","Repasse:")</f>
        <v>Repasse:</v>
      </c>
      <c r="T39" s="263">
        <f ca="1">ROUND(T42-T41-T40,2)</f>
        <v>0</v>
      </c>
      <c r="U39" s="259">
        <f t="shared" ref="U39:AE39" ca="1" si="15">ROUND(U42-U41-U40,2)</f>
        <v>0</v>
      </c>
      <c r="V39" s="259">
        <f t="shared" ca="1" si="15"/>
        <v>0</v>
      </c>
      <c r="W39" s="259">
        <f t="shared" ca="1" si="15"/>
        <v>0</v>
      </c>
      <c r="X39" s="259">
        <f t="shared" ca="1" si="15"/>
        <v>0</v>
      </c>
      <c r="Y39" s="259">
        <f t="shared" ca="1" si="15"/>
        <v>0</v>
      </c>
      <c r="Z39" s="259">
        <f t="shared" ca="1" si="15"/>
        <v>0</v>
      </c>
      <c r="AA39" s="259">
        <f t="shared" ca="1" si="15"/>
        <v>0</v>
      </c>
      <c r="AB39" s="259">
        <f t="shared" ca="1" si="15"/>
        <v>0</v>
      </c>
      <c r="AC39" s="259">
        <f t="shared" ca="1" si="15"/>
        <v>0</v>
      </c>
      <c r="AD39" s="259">
        <f t="shared" ca="1" si="15"/>
        <v>0</v>
      </c>
      <c r="AE39" s="264">
        <f t="shared" ca="1" si="15"/>
        <v>0</v>
      </c>
      <c r="AF39" s="204">
        <f ca="1">AE39+SUMPRODUCT((OFFSET($B$13,1,0):OFFSET($B$32,-3,0))*IF(ISNUMBER(OFFSET(AF$11,5,0):OFFSET(AF$32,-1,0)),OFFSET(AF$11,5,0):OFFSET(AF$32,-1,0),0))</f>
        <v>0</v>
      </c>
    </row>
    <row r="40" spans="4:32" x14ac:dyDescent="0.2">
      <c r="D40" s="259">
        <f t="array" aca="1" ref="D40" ca="1">C40+SUM((OFFSET($B$13,1,0):OFFSET($B$32,-3,0))*IF(ISNUMBER(OFFSET(D$11,5,0):OFFSET(D$32,-1,0)),OFFSET(D$11,5,0):OFFSET(D$32,-1,0),0))</f>
        <v>0</v>
      </c>
      <c r="F40" s="203" t="s">
        <v>248</v>
      </c>
      <c r="K40" s="266" t="s">
        <v>289</v>
      </c>
      <c r="R40" s="267"/>
      <c r="S40" s="268" t="s">
        <v>286</v>
      </c>
      <c r="T40" s="269">
        <f t="array" aca="1" ref="T40" ca="1">SUM((OFFSET($B$13,1,0):OFFSET($B$32,-3,0))*IF(ISNUMBER(OFFSET(T$11,5,0):OFFSET(T$32,-1,0)),OFFSET(T$11,5,0):OFFSET(T$32,-1,0),0))</f>
        <v>0</v>
      </c>
      <c r="U40" s="270">
        <f t="array" aca="1" ref="U40" ca="1">T40+SUM((OFFSET($B$13,1,0):OFFSET($B$32,-3,0))*IF(ISNUMBER(OFFSET(U$11,5,0):OFFSET(U$32,-1,0)),OFFSET(U$11,5,0):OFFSET(U$32,-1,0),0))</f>
        <v>0</v>
      </c>
      <c r="V40" s="270">
        <f t="array" aca="1" ref="V40" ca="1">U40+SUM((OFFSET($B$13,1,0):OFFSET($B$32,-3,0))*IF(ISNUMBER(OFFSET(V$11,5,0):OFFSET(V$32,-1,0)),OFFSET(V$11,5,0):OFFSET(V$32,-1,0),0))</f>
        <v>0</v>
      </c>
      <c r="W40" s="270">
        <f t="array" aca="1" ref="W40" ca="1">V40+SUM((OFFSET($B$13,1,0):OFFSET($B$32,-3,0))*IF(ISNUMBER(OFFSET(W$11,5,0):OFFSET(W$32,-1,0)),OFFSET(W$11,5,0):OFFSET(W$32,-1,0),0))</f>
        <v>0</v>
      </c>
      <c r="X40" s="270">
        <f t="array" aca="1" ref="X40" ca="1">W40+SUM((OFFSET($B$13,1,0):OFFSET($B$32,-3,0))*IF(ISNUMBER(OFFSET(X$11,5,0):OFFSET(X$32,-1,0)),OFFSET(X$11,5,0):OFFSET(X$32,-1,0),0))</f>
        <v>0</v>
      </c>
      <c r="Y40" s="270">
        <f t="array" aca="1" ref="Y40" ca="1">X40+SUM((OFFSET($B$13,1,0):OFFSET($B$32,-3,0))*IF(ISNUMBER(OFFSET(Y$11,5,0):OFFSET(Y$32,-1,0)),OFFSET(Y$11,5,0):OFFSET(Y$32,-1,0),0))</f>
        <v>0</v>
      </c>
      <c r="Z40" s="270">
        <f t="array" aca="1" ref="Z40" ca="1">Y40+SUM((OFFSET($B$13,1,0):OFFSET($B$32,-3,0))*IF(ISNUMBER(OFFSET(Z$11,5,0):OFFSET(Z$32,-1,0)),OFFSET(Z$11,5,0):OFFSET(Z$32,-1,0),0))</f>
        <v>0</v>
      </c>
      <c r="AA40" s="270">
        <f t="array" aca="1" ref="AA40" ca="1">Z40+SUM((OFFSET($B$13,1,0):OFFSET($B$32,-3,0))*IF(ISNUMBER(OFFSET(AA$11,5,0):OFFSET(AA$32,-1,0)),OFFSET(AA$11,5,0):OFFSET(AA$32,-1,0),0))</f>
        <v>0</v>
      </c>
      <c r="AB40" s="270">
        <f t="array" aca="1" ref="AB40" ca="1">AA40+SUM((OFFSET($B$13,1,0):OFFSET($B$32,-3,0))*IF(ISNUMBER(OFFSET(AB$11,5,0):OFFSET(AB$32,-1,0)),OFFSET(AB$11,5,0):OFFSET(AB$32,-1,0),0))</f>
        <v>0</v>
      </c>
      <c r="AC40" s="270">
        <f t="array" aca="1" ref="AC40" ca="1">AB40+SUM((OFFSET($B$13,1,0):OFFSET($B$32,-3,0))*IF(ISNUMBER(OFFSET(AC$11,5,0):OFFSET(AC$32,-1,0)),OFFSET(AC$11,5,0):OFFSET(AC$32,-1,0),0))</f>
        <v>0</v>
      </c>
      <c r="AD40" s="270">
        <f t="array" aca="1" ref="AD40" ca="1">AC40+SUM((OFFSET($B$13,1,0):OFFSET($B$32,-3,0))*IF(ISNUMBER(OFFSET(AD$11,5,0):OFFSET(AD$32,-1,0)),OFFSET(AD$11,5,0):OFFSET(AD$32,-1,0),0))</f>
        <v>0</v>
      </c>
      <c r="AE40" s="271">
        <f t="array" aca="1" ref="AE40" ca="1">AD40+SUM((OFFSET($B$13,1,0):OFFSET($B$32,-3,0))*IF(ISNUMBER(OFFSET(AE$11,5,0):OFFSET(AE$32,-1,0)),OFFSET(AE$11,5,0):OFFSET(AE$32,-1,0),0))</f>
        <v>0</v>
      </c>
      <c r="AF40" s="204">
        <f ca="1">AE40+SUMPRODUCT((OFFSET($C$13,1,0):OFFSET($C$32,-3,0))*IF(ISNUMBER(OFFSET(AF$11,5,0):OFFSET(AF$32,-1,0)),OFFSET(AF$11,5,0):OFFSET(AF$32,-1,0),0))</f>
        <v>0</v>
      </c>
    </row>
    <row r="41" spans="4:32" x14ac:dyDescent="0.2">
      <c r="D41" s="272">
        <f t="array" aca="1" ref="D41" ca="1">C41+SUM((OFFSET($C$13,1,0):OFFSET($C$32,-3,0))*IF(ISNUMBER(OFFSET(D$11,5,0):OFFSET(D$32,-1,0)),OFFSET(D$11,5,0):OFFSET(D$32,-1,0),0))</f>
        <v>0</v>
      </c>
      <c r="F41" s="203" t="s">
        <v>248</v>
      </c>
      <c r="K41" s="266"/>
      <c r="R41" s="273"/>
      <c r="S41" s="274" t="s">
        <v>287</v>
      </c>
      <c r="T41" s="275">
        <f t="array" aca="1" ref="T41" ca="1">SUM((OFFSET($C$13,1,0):OFFSET($C$32,-3,0))*IF(ISNUMBER(OFFSET(T$11,5,0):OFFSET(T$32,-1,0)),OFFSET(T$11,5,0):OFFSET(T$32,-1,0),0))</f>
        <v>0</v>
      </c>
      <c r="U41" s="272">
        <f t="array" aca="1" ref="U41" ca="1">T41+SUM((OFFSET($C$13,1,0):OFFSET($C$32,-3,0))*IF(ISNUMBER(OFFSET(U$11,5,0):OFFSET(U$32,-1,0)),OFFSET(U$11,5,0):OFFSET(U$32,-1,0),0))</f>
        <v>0</v>
      </c>
      <c r="V41" s="272">
        <f t="array" aca="1" ref="V41" ca="1">U41+SUM((OFFSET($C$13,1,0):OFFSET($C$32,-3,0))*IF(ISNUMBER(OFFSET(V$11,5,0):OFFSET(V$32,-1,0)),OFFSET(V$11,5,0):OFFSET(V$32,-1,0),0))</f>
        <v>0</v>
      </c>
      <c r="W41" s="272">
        <f t="array" aca="1" ref="W41" ca="1">V41+SUM((OFFSET($C$13,1,0):OFFSET($C$32,-3,0))*IF(ISNUMBER(OFFSET(W$11,5,0):OFFSET(W$32,-1,0)),OFFSET(W$11,5,0):OFFSET(W$32,-1,0),0))</f>
        <v>0</v>
      </c>
      <c r="X41" s="272">
        <f t="array" aca="1" ref="X41" ca="1">W41+SUM((OFFSET($C$13,1,0):OFFSET($C$32,-3,0))*IF(ISNUMBER(OFFSET(X$11,5,0):OFFSET(X$32,-1,0)),OFFSET(X$11,5,0):OFFSET(X$32,-1,0),0))</f>
        <v>0</v>
      </c>
      <c r="Y41" s="272">
        <f t="array" aca="1" ref="Y41" ca="1">X41+SUM((OFFSET($C$13,1,0):OFFSET($C$32,-3,0))*IF(ISNUMBER(OFFSET(Y$11,5,0):OFFSET(Y$32,-1,0)),OFFSET(Y$11,5,0):OFFSET(Y$32,-1,0),0))</f>
        <v>0</v>
      </c>
      <c r="Z41" s="272">
        <f t="array" aca="1" ref="Z41" ca="1">Y41+SUM((OFFSET($C$13,1,0):OFFSET($C$32,-3,0))*IF(ISNUMBER(OFFSET(Z$11,5,0):OFFSET(Z$32,-1,0)),OFFSET(Z$11,5,0):OFFSET(Z$32,-1,0),0))</f>
        <v>0</v>
      </c>
      <c r="AA41" s="272">
        <f t="array" aca="1" ref="AA41" ca="1">Z41+SUM((OFFSET($C$13,1,0):OFFSET($C$32,-3,0))*IF(ISNUMBER(OFFSET(AA$11,5,0):OFFSET(AA$32,-1,0)),OFFSET(AA$11,5,0):OFFSET(AA$32,-1,0),0))</f>
        <v>0</v>
      </c>
      <c r="AB41" s="272">
        <f t="array" aca="1" ref="AB41" ca="1">AA41+SUM((OFFSET($C$13,1,0):OFFSET($C$32,-3,0))*IF(ISNUMBER(OFFSET(AB$11,5,0):OFFSET(AB$32,-1,0)),OFFSET(AB$11,5,0):OFFSET(AB$32,-1,0),0))</f>
        <v>0</v>
      </c>
      <c r="AC41" s="272">
        <f t="array" aca="1" ref="AC41" ca="1">AB41+SUM((OFFSET($C$13,1,0):OFFSET($C$32,-3,0))*IF(ISNUMBER(OFFSET(AC$11,5,0):OFFSET(AC$32,-1,0)),OFFSET(AC$11,5,0):OFFSET(AC$32,-1,0),0))</f>
        <v>0</v>
      </c>
      <c r="AD41" s="272">
        <f t="array" aca="1" ref="AD41" ca="1">AC41+SUM((OFFSET($C$13,1,0):OFFSET($C$32,-3,0))*IF(ISNUMBER(OFFSET(AD$11,5,0):OFFSET(AD$32,-1,0)),OFFSET(AD$11,5,0):OFFSET(AD$32,-1,0),0))</f>
        <v>0</v>
      </c>
      <c r="AE41" s="276">
        <f t="array" aca="1" ref="AE41" ca="1">AD41+SUM((OFFSET($C$13,1,0):OFFSET($C$32,-3,0))*IF(ISNUMBER(OFFSET(AE$11,5,0):OFFSET(AE$32,-1,0)),OFFSET(AE$11,5,0):OFFSET(AE$32,-1,0),0))</f>
        <v>0</v>
      </c>
      <c r="AF41" s="204">
        <f ca="1">ROUND(AF42-AF39-AF40,2)</f>
        <v>0</v>
      </c>
    </row>
    <row r="42" spans="4:32" x14ac:dyDescent="0.2">
      <c r="D42" s="277">
        <f ca="1">C42+SUMIF($R$12:$R$32,"1$",D12:D32)</f>
        <v>0</v>
      </c>
      <c r="F42" s="203" t="s">
        <v>248</v>
      </c>
      <c r="K42" s="278"/>
      <c r="R42" s="279"/>
      <c r="S42" s="280" t="s">
        <v>288</v>
      </c>
      <c r="T42" s="281">
        <f ca="1">SUMIF($R$12:$R$32,"1$",T12:T32)</f>
        <v>0</v>
      </c>
      <c r="U42" s="282">
        <f t="shared" ref="U42:AF42" ca="1" si="16">T42+SUMIF($R$12:$R$32,"1$",U12:U32)</f>
        <v>0</v>
      </c>
      <c r="V42" s="282">
        <f t="shared" ca="1" si="16"/>
        <v>0</v>
      </c>
      <c r="W42" s="282">
        <f t="shared" ca="1" si="16"/>
        <v>0</v>
      </c>
      <c r="X42" s="282">
        <f t="shared" ca="1" si="16"/>
        <v>0</v>
      </c>
      <c r="Y42" s="282">
        <f t="shared" ca="1" si="16"/>
        <v>0</v>
      </c>
      <c r="Z42" s="282">
        <f t="shared" ca="1" si="16"/>
        <v>0</v>
      </c>
      <c r="AA42" s="282">
        <f t="shared" ca="1" si="16"/>
        <v>0</v>
      </c>
      <c r="AB42" s="282">
        <f t="shared" ca="1" si="16"/>
        <v>0</v>
      </c>
      <c r="AC42" s="282">
        <f t="shared" ca="1" si="16"/>
        <v>0</v>
      </c>
      <c r="AD42" s="282">
        <f t="shared" ca="1" si="16"/>
        <v>0</v>
      </c>
      <c r="AE42" s="283">
        <f t="shared" ca="1" si="16"/>
        <v>0</v>
      </c>
      <c r="AF42" s="204">
        <f t="shared" ca="1" si="16"/>
        <v>0</v>
      </c>
    </row>
    <row r="43" spans="4:32" x14ac:dyDescent="0.2">
      <c r="F43" s="203" t="s">
        <v>248</v>
      </c>
    </row>
    <row r="44" spans="4:32" ht="32.25" customHeight="1" x14ac:dyDescent="0.2">
      <c r="F44" s="203" t="s">
        <v>248</v>
      </c>
      <c r="H44" s="617" t="str">
        <f>Import.Município</f>
        <v>Caçapava do Sul/RS</v>
      </c>
      <c r="I44" s="617"/>
      <c r="J44" s="617"/>
      <c r="K44" s="617"/>
      <c r="L44" s="617"/>
      <c r="M44" s="617"/>
      <c r="N44" s="617"/>
      <c r="O44" s="617"/>
      <c r="P44" s="617"/>
      <c r="Q44" s="617"/>
      <c r="R44" s="617"/>
      <c r="Z44" s="553"/>
      <c r="AA44" s="553"/>
      <c r="AB44" s="553"/>
      <c r="AC44" s="553"/>
      <c r="AD44" s="555"/>
      <c r="AE44" s="555"/>
    </row>
    <row r="45" spans="4:32" x14ac:dyDescent="0.2">
      <c r="F45" s="203" t="s">
        <v>248</v>
      </c>
      <c r="H45" s="10" t="s">
        <v>190</v>
      </c>
      <c r="I45"/>
      <c r="J45"/>
      <c r="K45"/>
      <c r="Z45" s="194" t="s">
        <v>192</v>
      </c>
      <c r="AA45" s="194"/>
      <c r="AB45" s="194"/>
      <c r="AC45" s="194"/>
      <c r="AD45" s="203"/>
      <c r="AE45" s="203"/>
    </row>
    <row r="46" spans="4:32" x14ac:dyDescent="0.2">
      <c r="F46" s="203" t="s">
        <v>248</v>
      </c>
      <c r="H46"/>
      <c r="I46"/>
      <c r="J46"/>
      <c r="K46"/>
      <c r="Z46" s="447" t="str">
        <f t="array" aca="1" ref="Z46:Z48" ca="1">OFFSET(Import.RespOrçamento,0,-1) &amp; " " &amp; Import.RespOrçamento</f>
        <v>Nome: Fernando Cesar Nubias Pereira</v>
      </c>
      <c r="AB46"/>
      <c r="AC46" s="80"/>
      <c r="AD46" s="203"/>
      <c r="AE46" s="203"/>
    </row>
    <row r="47" spans="4:32" x14ac:dyDescent="0.2">
      <c r="F47" s="203" t="s">
        <v>248</v>
      </c>
      <c r="H47" s="640">
        <f ca="1">DADOS!$F$25</f>
        <v>45545</v>
      </c>
      <c r="I47" s="640"/>
      <c r="J47" s="640"/>
      <c r="K47" s="193"/>
      <c r="L47" s="284"/>
      <c r="M47" s="284"/>
      <c r="N47" s="284"/>
      <c r="O47" s="284"/>
      <c r="P47" s="284"/>
      <c r="Q47" s="284"/>
      <c r="R47" s="285"/>
      <c r="Z47" s="447" t="str">
        <f ca="1"/>
        <v>CREA/CAU: RS A - 228673-4</v>
      </c>
      <c r="AB47" s="80"/>
      <c r="AC47" s="80"/>
      <c r="AD47" s="203"/>
      <c r="AE47" s="203"/>
    </row>
    <row r="48" spans="4:32" x14ac:dyDescent="0.2">
      <c r="F48" s="203" t="s">
        <v>248</v>
      </c>
      <c r="H48" s="10" t="s">
        <v>191</v>
      </c>
      <c r="I48"/>
      <c r="J48"/>
      <c r="K48"/>
      <c r="Z48" s="447" t="str">
        <f ca="1"/>
        <v>ART/RRT: 13882809</v>
      </c>
      <c r="AB48" s="80"/>
      <c r="AC48" s="80"/>
      <c r="AD48" s="203"/>
      <c r="AE48" s="203"/>
    </row>
  </sheetData>
  <sheetProtection password="BD1F" sheet="1" objects="1" scenarios="1" autoFilter="0"/>
  <autoFilter ref="F13:F48">
    <filterColumn colId="0">
      <filters>
        <filter val="F"/>
      </filters>
    </filterColumn>
  </autoFilter>
  <mergeCells count="17">
    <mergeCell ref="H47:J47"/>
    <mergeCell ref="AD4:AE4"/>
    <mergeCell ref="AD5:AE5"/>
    <mergeCell ref="Y8:AD8"/>
    <mergeCell ref="R12:R13"/>
    <mergeCell ref="S12:S13"/>
    <mergeCell ref="K8:S8"/>
    <mergeCell ref="T8:X8"/>
    <mergeCell ref="J10:S11"/>
    <mergeCell ref="H44:R44"/>
    <mergeCell ref="F8:F11"/>
    <mergeCell ref="H8:I8"/>
    <mergeCell ref="G7:G9"/>
    <mergeCell ref="H33:J34"/>
    <mergeCell ref="G12:G13"/>
    <mergeCell ref="H12:H13"/>
    <mergeCell ref="I12:I13"/>
  </mergeCells>
  <phoneticPr fontId="38" type="noConversion"/>
  <conditionalFormatting sqref="T12:T13">
    <cfRule type="expression" dxfId="106" priority="1775" stopIfTrue="1">
      <formula>NOT(ISNUMBER(S$12))</formula>
    </cfRule>
  </conditionalFormatting>
  <conditionalFormatting sqref="D2 T2:AF2">
    <cfRule type="expression" dxfId="105" priority="1776" stopIfTrue="1">
      <formula>AND(ISNUMBER($G1),$G1&lt;&gt;0)</formula>
    </cfRule>
  </conditionalFormatting>
  <conditionalFormatting sqref="D33:D37 T34:AE34 T36:AE36">
    <cfRule type="expression" dxfId="104" priority="1781" stopIfTrue="1">
      <formula>D$33=0</formula>
    </cfRule>
  </conditionalFormatting>
  <conditionalFormatting sqref="D38:D42">
    <cfRule type="expression" dxfId="103" priority="1782" stopIfTrue="1">
      <formula>C$38=1</formula>
    </cfRule>
  </conditionalFormatting>
  <conditionalFormatting sqref="U38:AE38 U40:AE40 U42:AE42">
    <cfRule type="expression" dxfId="102" priority="1783" stopIfTrue="1">
      <formula>OFFSET(U$38,0,-1)&gt;=1</formula>
    </cfRule>
  </conditionalFormatting>
  <conditionalFormatting sqref="U39:AE39 U41:AE41">
    <cfRule type="expression" dxfId="101" priority="1784" stopIfTrue="1">
      <formula>OFFSET(U$38,0,-1)&gt;=1</formula>
    </cfRule>
  </conditionalFormatting>
  <conditionalFormatting sqref="T33:AE33 T35:AE35 T37:AE37">
    <cfRule type="expression" dxfId="100" priority="1785" stopIfTrue="1">
      <formula>T$33=0</formula>
    </cfRule>
  </conditionalFormatting>
  <conditionalFormatting sqref="AE7:AE8">
    <cfRule type="expression" dxfId="99" priority="1786" stopIfTrue="1">
      <formula>OR(TIPOORCAMENTO&lt;&gt;"Licitado",QCI.ExisteManual)</formula>
    </cfRule>
  </conditionalFormatting>
  <conditionalFormatting sqref="D1 T1:AE1">
    <cfRule type="expression" dxfId="98" priority="1787" stopIfTrue="1">
      <formula>D1&lt;&gt;0</formula>
    </cfRule>
  </conditionalFormatting>
  <conditionalFormatting sqref="Y7:AD8">
    <cfRule type="expression" dxfId="97" priority="1774" stopIfTrue="1">
      <formula>QCI.ExisteManual</formula>
    </cfRule>
  </conditionalFormatting>
  <conditionalFormatting sqref="D15 D18 D21 T15:AF15 T18:AF18 T21:AF21">
    <cfRule type="expression" dxfId="96" priority="37" stopIfTrue="1">
      <formula>AND(ISNUMBER($G14),$G14&lt;&gt;0)</formula>
    </cfRule>
  </conditionalFormatting>
  <conditionalFormatting sqref="D14 D17 D20 T14:AE14 T17:AE17 T20:AE20">
    <cfRule type="expression" dxfId="95" priority="42" stopIfTrue="1">
      <formula>D14&lt;&gt;0</formula>
    </cfRule>
  </conditionalFormatting>
  <conditionalFormatting sqref="D24 T24:AF24">
    <cfRule type="expression" dxfId="94" priority="31" stopIfTrue="1">
      <formula>AND(ISNUMBER($G23),$G23&lt;&gt;0)</formula>
    </cfRule>
  </conditionalFormatting>
  <conditionalFormatting sqref="D23 T23:AE23">
    <cfRule type="expression" dxfId="93" priority="36" stopIfTrue="1">
      <formula>D23&lt;&gt;0</formula>
    </cfRule>
  </conditionalFormatting>
  <conditionalFormatting sqref="D27 T27:AF27">
    <cfRule type="expression" dxfId="92" priority="11" stopIfTrue="1">
      <formula>AND(ISNUMBER($G26),$G26&lt;&gt;0)</formula>
    </cfRule>
  </conditionalFormatting>
  <conditionalFormatting sqref="D26 T26:AE26">
    <cfRule type="expression" dxfId="91" priority="12" stopIfTrue="1">
      <formula>D26&lt;&gt;0</formula>
    </cfRule>
  </conditionalFormatting>
  <conditionalFormatting sqref="D30 T30:AF30">
    <cfRule type="expression" dxfId="90" priority="9" stopIfTrue="1">
      <formula>AND(ISNUMBER($G29),$G29&lt;&gt;0)</formula>
    </cfRule>
  </conditionalFormatting>
  <conditionalFormatting sqref="D29 T29:AE29">
    <cfRule type="expression" dxfId="89" priority="10" stopIfTrue="1">
      <formula>D29&lt;&gt;0</formula>
    </cfRule>
  </conditionalFormatting>
  <dataValidations count="5">
    <dataValidation type="list" allowBlank="1" showErrorMessage="1" sqref="G10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T23:AE23 D26 T26:AE26 D29 T29:AE29"/>
    <dataValidation type="whole" operator="greaterThan" allowBlank="1" showErrorMessage="1" sqref="T12">
      <formula1>0</formula1>
      <formula2>0</formula2>
    </dataValidation>
    <dataValidation type="decimal" allowBlank="1" showErrorMessage="1" error="Porcentagem Acumulada &gt; 100%." sqref="D2 T2:AF2 D15 D18 D21 T15:AF15 T18:AF18 T21:AF21 D24 T24:AF24 D27 T27:AF27 D30 T30:AF30">
      <formula1>0</formula1>
      <formula2>CRONO.MaxParc</formula2>
    </dataValidation>
    <dataValidation type="date" operator="greaterThan" allowBlank="1" showInputMessage="1" showErrorMessage="1" errorTitle="Erro" error="Digite somente datas." sqref="T13">
      <formula1>36526</formula1>
    </dataValidation>
  </dataValidations>
  <printOptions horizontalCentered="1"/>
  <pageMargins left="0.78740157480314965" right="0.78740157480314965" top="0.78740157480314965" bottom="0.78740157480314965" header="0.59055118110236227" footer="0.59055118110236227"/>
  <pageSetup paperSize="9" scale="60" firstPageNumber="0" orientation="landscape" r:id="rId1"/>
  <headerFooter alignWithMargins="0">
    <oddHeader>&amp;C&amp;14I</oddHeader>
    <oddFooter>&amp;LPMv3.0.4&amp;R&amp;P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E20"/>
  <sheetViews>
    <sheetView showGridLines="0" tabSelected="1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H20" sqref="H20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31" width="5.7109375" customWidth="1"/>
    <col min="32" max="32" width="2.140625" customWidth="1"/>
  </cols>
  <sheetData>
    <row r="1" spans="1:31" hidden="1" x14ac:dyDescent="0.2">
      <c r="A1" s="7" t="e">
        <f ca="1">IF(AUTOEVENTO="Manual",IF(OFFSET(EVENTOS!$F$14,CRONOPLE!$B1,0)&gt;0,"F",""),IF(CRONOPLE!B1&lt;=MAX(CÁLCULO!$M$15:$M$32),"F",""))</f>
        <v>#REF!</v>
      </c>
      <c r="B1" s="286" t="e">
        <f ca="1">OFFSET(B1,-1,0)+1</f>
        <v>#REF!</v>
      </c>
      <c r="C1" s="287" t="e">
        <f ca="1">IF(AUTOEVENTO="Manual",IF($B1&lt;&gt;1,OFFSET(EVENTOS!$D$14,$B1,0),0),IF(B1&lt;=MAX(CÁLCULO!$M$15:$M$32),VLOOKUP($B1,CÁLCULO!$M$15:$N$32,2,FALSE),0))</f>
        <v>#REF!</v>
      </c>
      <c r="E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</row>
    <row r="2" spans="1:31" hidden="1" x14ac:dyDescent="0.2"/>
    <row r="3" spans="1:31" hidden="1" x14ac:dyDescent="0.2"/>
    <row r="4" spans="1:31" hidden="1" x14ac:dyDescent="0.2"/>
    <row r="5" spans="1:31" ht="15.75" x14ac:dyDescent="0.2">
      <c r="B5" s="83" t="s">
        <v>290</v>
      </c>
    </row>
    <row r="7" spans="1:31" x14ac:dyDescent="0.2">
      <c r="B7" t="s">
        <v>291</v>
      </c>
    </row>
    <row r="9" spans="1:31" ht="15" x14ac:dyDescent="0.25">
      <c r="B9" s="289" t="str">
        <f ca="1">IF(ACOMPANHAMENTO="BM","NO ACOMPANHAMENTO POR BM, UTILIZE A ABA CRONO",IF(MAX($B$14:$B$20)&lt;MAX(CÁLCULO!$M$15:$M$32),"ERRO: NÚMERO DE EVENTOS INSUFICIENTE, CLIQUE EM ATUALIZAR LINHAS",IF(ROUND(OFFSET(CRONO!$AF$42,0,-1),2)&lt;&gt;CRONO!$Q$33,"ERRO: CRONOGRAMA NÃO FECHA 100%","")))</f>
        <v/>
      </c>
    </row>
    <row r="11" spans="1:31" ht="65.25" customHeight="1" x14ac:dyDescent="0.2">
      <c r="A11" s="290"/>
      <c r="C11" s="291"/>
      <c r="E11" s="292" t="str">
        <f ca="1">IF(E$12&gt;CÁLCULO.NúmeroDeFrentes,"",OFFSET(CÁLCULO!$P$12,0,E$12))</f>
        <v>SERVIÇOS PRELIMINARES</v>
      </c>
      <c r="G11" s="292" t="str">
        <f ca="1">IF(G$12&gt;CÁLCULO.NúmeroDeFrentes,"",OFFSET(CÁLCULO!$P$12,0,G$12))</f>
        <v>SERVIÇOS PRELIMINARES</v>
      </c>
      <c r="H11" s="292" t="str">
        <f ca="1">IF(H$12&gt;CÁLCULO.NúmeroDeFrentes,"",OFFSET(CÁLCULO!$P$12,0,H$12))</f>
        <v xml:space="preserve">TRECHO DE INTERVENÇÃO  </v>
      </c>
      <c r="I11" s="292">
        <f ca="1">IF(I$12&gt;CÁLCULO.NúmeroDeFrentes,"",OFFSET(CÁLCULO!$P$12,0,I$12))</f>
        <v>0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 t="str">
        <f ca="1">IF(Q$12&gt;CÁLCULO.NúmeroDeFrentes,"",OFFSET(CÁLCULO!$P$12,0,Q$12))</f>
        <v/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</row>
    <row r="12" spans="1:31" ht="12.75" customHeight="1" x14ac:dyDescent="0.2">
      <c r="A12" s="108"/>
      <c r="B12" s="646" t="s">
        <v>268</v>
      </c>
      <c r="C12" s="646" t="s">
        <v>293</v>
      </c>
      <c r="E12" s="293">
        <f ca="1">OFFSET(E12,0,-1)+1</f>
        <v>1</v>
      </c>
      <c r="G12" s="293">
        <f ca="1">OFFSET(G12,0,-1)+1</f>
        <v>1</v>
      </c>
      <c r="H12" s="293">
        <f ca="1">OFFSET(H12,0,-1)+1</f>
        <v>2</v>
      </c>
      <c r="I12" s="293">
        <f t="shared" ref="I12:AE12" ca="1" si="0">OFFSET(I12,0,-1)+1</f>
        <v>3</v>
      </c>
      <c r="J12" s="293">
        <f t="shared" ca="1" si="0"/>
        <v>4</v>
      </c>
      <c r="K12" s="293">
        <f t="shared" ca="1" si="0"/>
        <v>5</v>
      </c>
      <c r="L12" s="293">
        <f t="shared" ca="1" si="0"/>
        <v>6</v>
      </c>
      <c r="M12" s="293">
        <f t="shared" ca="1" si="0"/>
        <v>7</v>
      </c>
      <c r="N12" s="293">
        <f t="shared" ca="1" si="0"/>
        <v>8</v>
      </c>
      <c r="O12" s="293">
        <f t="shared" ca="1" si="0"/>
        <v>9</v>
      </c>
      <c r="P12" s="293">
        <f t="shared" ca="1" si="0"/>
        <v>10</v>
      </c>
      <c r="Q12" s="293">
        <f t="shared" ca="1" si="0"/>
        <v>11</v>
      </c>
      <c r="R12" s="293">
        <f t="shared" ca="1" si="0"/>
        <v>12</v>
      </c>
      <c r="S12" s="293">
        <f t="shared" ca="1" si="0"/>
        <v>13</v>
      </c>
      <c r="T12" s="293">
        <f t="shared" ca="1" si="0"/>
        <v>14</v>
      </c>
      <c r="U12" s="293">
        <f t="shared" ca="1" si="0"/>
        <v>15</v>
      </c>
      <c r="V12" s="293">
        <f t="shared" ca="1" si="0"/>
        <v>16</v>
      </c>
      <c r="W12" s="293">
        <f t="shared" ca="1" si="0"/>
        <v>17</v>
      </c>
      <c r="X12" s="293">
        <f t="shared" ca="1" si="0"/>
        <v>18</v>
      </c>
      <c r="Y12" s="293">
        <f t="shared" ca="1" si="0"/>
        <v>19</v>
      </c>
      <c r="Z12" s="293">
        <f t="shared" ca="1" si="0"/>
        <v>20</v>
      </c>
      <c r="AA12" s="293">
        <f t="shared" ca="1" si="0"/>
        <v>21</v>
      </c>
      <c r="AB12" s="293">
        <f t="shared" ca="1" si="0"/>
        <v>22</v>
      </c>
      <c r="AC12" s="293">
        <f t="shared" ca="1" si="0"/>
        <v>23</v>
      </c>
      <c r="AD12" s="293">
        <f t="shared" ca="1" si="0"/>
        <v>24</v>
      </c>
      <c r="AE12" s="293">
        <f t="shared" ca="1" si="0"/>
        <v>25</v>
      </c>
    </row>
    <row r="13" spans="1:31" x14ac:dyDescent="0.2">
      <c r="B13" s="646"/>
      <c r="C13" s="646"/>
      <c r="E13" s="294"/>
      <c r="G13" s="295"/>
      <c r="H13" s="294"/>
      <c r="I13" s="294"/>
      <c r="J13" s="294"/>
      <c r="K13" s="294"/>
      <c r="L13" s="294"/>
      <c r="M13" s="294" t="s">
        <v>294</v>
      </c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6"/>
    </row>
    <row r="14" spans="1:31" ht="7.5" customHeight="1" x14ac:dyDescent="0.2">
      <c r="A14" s="7"/>
    </row>
    <row r="15" spans="1:31" x14ac:dyDescent="0.2">
      <c r="A15" s="7"/>
      <c r="B15" s="297">
        <v>1</v>
      </c>
      <c r="C15" s="298" t="s">
        <v>271</v>
      </c>
      <c r="E15" s="299"/>
      <c r="G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301"/>
    </row>
    <row r="16" spans="1:31" x14ac:dyDescent="0.2">
      <c r="A16" s="7" t="str">
        <f ca="1">IF(AUTOEVENTO="Manual",IF(OFFSET(EVENTOS!$F$14,CRONOPLE!$B16,0)&gt;0,"F",""),IF(CRONOPLE!B16&lt;=MAX(CÁLCULO!$M$15:$M$32),"F",""))</f>
        <v/>
      </c>
      <c r="B16" s="286">
        <f ca="1">OFFSET(B16,-1,0)+1</f>
        <v>2</v>
      </c>
      <c r="C16" s="287" t="str">
        <f ca="1">IF(AUTOEVENTO="Manual",IF($B16&lt;&gt;1,OFFSET(EVENTOS!$D$14,$B16,0),0),IF(B16&lt;=MAX(CÁLCULO!$M$15:$M$32),VLOOKUP($B16,CÁLCULO!$M$15:$N$32,2,FALSE),0))</f>
        <v>Serviços Preliminares</v>
      </c>
      <c r="E16" s="288"/>
      <c r="G16" s="288">
        <v>1</v>
      </c>
      <c r="H16" s="288">
        <v>1</v>
      </c>
      <c r="I16" s="288">
        <v>1</v>
      </c>
      <c r="J16" s="288"/>
      <c r="K16" s="288"/>
      <c r="L16" s="288">
        <v>1</v>
      </c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</row>
    <row r="17" spans="1:31" x14ac:dyDescent="0.2">
      <c r="A17" s="7" t="str">
        <f ca="1">IF(AUTOEVENTO="Manual",IF(OFFSET(EVENTOS!$F$14,CRONOPLE!$B17,0)&gt;0,"F",""),IF(CRONOPLE!B17&lt;=MAX(CÁLCULO!$M$15:$M$32),"F",""))</f>
        <v/>
      </c>
      <c r="B17" s="286">
        <f ca="1">OFFSET(B17,-1,0)+1</f>
        <v>3</v>
      </c>
      <c r="C17" s="287" t="str">
        <f ca="1">IF(AUTOEVENTO="Manual",IF($B17&lt;&gt;1,OFFSET(EVENTOS!$D$14,$B17,0),0),IF(B17&lt;=MAX(CÁLCULO!$M$15:$M$32),VLOOKUP($B17,CÁLCULO!$M$15:$N$32,2,FALSE),0))</f>
        <v xml:space="preserve">Terraplanagem </v>
      </c>
      <c r="E17" s="288"/>
      <c r="G17" s="288"/>
      <c r="H17" s="288">
        <v>1</v>
      </c>
      <c r="I17" s="288">
        <v>2</v>
      </c>
      <c r="J17" s="288">
        <v>5</v>
      </c>
      <c r="K17" s="288">
        <v>6</v>
      </c>
      <c r="L17" s="288">
        <v>4</v>
      </c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</row>
    <row r="18" spans="1:31" x14ac:dyDescent="0.2">
      <c r="A18" s="7" t="str">
        <f ca="1">IF(AUTOEVENTO="Manual",IF(OFFSET(EVENTOS!$F$14,CRONOPLE!$B18,0)&gt;0,"F",""),IF(CRONOPLE!B18&lt;=MAX(CÁLCULO!$M$15:$M$32),"F",""))</f>
        <v/>
      </c>
      <c r="B18" s="286">
        <f ca="1">OFFSET(B18,-1,0)+1</f>
        <v>4</v>
      </c>
      <c r="C18" s="287" t="str">
        <f ca="1">IF(AUTOEVENTO="Manual",IF($B18&lt;&gt;1,OFFSET(EVENTOS!$D$14,$B18,0),0),IF(B18&lt;=MAX(CÁLCULO!$M$15:$M$32),VLOOKUP($B18,CÁLCULO!$M$15:$N$32,2,FALSE),0))</f>
        <v>Pavimantação - Pista</v>
      </c>
      <c r="E18" s="288"/>
      <c r="G18" s="288"/>
      <c r="H18" s="288">
        <v>1</v>
      </c>
      <c r="I18" s="288">
        <v>4</v>
      </c>
      <c r="J18" s="288"/>
      <c r="K18" s="288">
        <v>4</v>
      </c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</row>
    <row r="19" spans="1:31" s="573" customFormat="1" x14ac:dyDescent="0.2">
      <c r="A19" s="7" t="str">
        <f ca="1">IF(AUTOEVENTO="Manual",IF(OFFSET(EVENTOS!$F$14,CRONOPLE!$B19,0)&gt;0,"F",""),IF(CRONOPLE!B19&lt;=MAX(CÁLCULO!$M$15:$M$32),"F",""))</f>
        <v/>
      </c>
      <c r="B19" s="286">
        <f t="shared" ref="B19" ca="1" si="1">OFFSET(B19,-1,0)+1</f>
        <v>5</v>
      </c>
      <c r="C19" s="572" t="str">
        <f ca="1">IF(AUTOEVENTO="Manual",IF($B19&lt;&gt;1,OFFSET(EVENTOS!$D$14,$B19,0),0),IF(B19&lt;=MAX(CÁLCULO!$M$15:$M$32),VLOOKUP($B19,CÁLCULO!$M$15:$N$32,2,FALSE),0))</f>
        <v xml:space="preserve">Sinalização Vertical </v>
      </c>
      <c r="E19" s="288"/>
      <c r="G19" s="288"/>
      <c r="H19" s="288">
        <v>1</v>
      </c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</row>
    <row r="20" spans="1:31" ht="5.0999999999999996" customHeight="1" x14ac:dyDescent="0.2">
      <c r="B20" s="510"/>
      <c r="C20" s="511"/>
      <c r="E20" s="302"/>
      <c r="F20" s="302"/>
      <c r="G20" s="510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  <c r="U20" s="512"/>
      <c r="V20" s="512"/>
      <c r="W20" s="512"/>
      <c r="X20" s="512"/>
      <c r="Y20" s="512"/>
      <c r="Z20" s="512"/>
      <c r="AA20" s="512"/>
      <c r="AB20" s="512"/>
      <c r="AC20" s="512"/>
      <c r="AD20" s="512"/>
      <c r="AE20" s="511"/>
    </row>
  </sheetData>
  <sheetProtection password="BD1F" sheet="1" objects="1" scenarios="1" autoFilter="0"/>
  <mergeCells count="2">
    <mergeCell ref="B12:B13"/>
    <mergeCell ref="C12:C13"/>
  </mergeCells>
  <phoneticPr fontId="38" type="noConversion"/>
  <conditionalFormatting sqref="E1 G1:AE1 E19 G19:AE19">
    <cfRule type="expression" dxfId="88" priority="103" stopIfTrue="1">
      <formula>IF(OR(E$12&gt;CÁLCULO.NúmeroDeFrentes,ACOMPANHAMENTO="BM"),TRUE,CRONOPLE.ValorDoEvento=0)</formula>
    </cfRule>
  </conditionalFormatting>
  <conditionalFormatting sqref="E16:E17 G16:AE17">
    <cfRule type="expression" dxfId="87" priority="6" stopIfTrue="1">
      <formula>IF(OR(E$12&gt;CÁLCULO.NúmeroDeFrentes,ACOMPANHAMENTO="BM"),TRUE,CRONOPLE.ValorDoEvento=0)</formula>
    </cfRule>
  </conditionalFormatting>
  <conditionalFormatting sqref="E18 G18:AE18">
    <cfRule type="expression" dxfId="86" priority="4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E16:E19 G16:AE19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8" firstPageNumber="0" orientation="landscape" verticalDpi="300" r:id="rId1"/>
  <headerFooter alignWithMargins="0">
    <oddHeader>&amp;L_&amp;C&amp;14I</oddHeader>
    <oddFooter>&amp;LPMv3.0.4&amp;R&amp;P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13</vt:i4>
      </vt:variant>
    </vt:vector>
  </HeadingPairs>
  <TitlesOfParts>
    <vt:vector size="27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BM!Titulos_de_impressao</vt:lpstr>
      <vt:lpstr>PLE!Titulos_de_impressao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PMC</cp:lastModifiedBy>
  <cp:revision>5</cp:revision>
  <cp:lastPrinted>2024-06-28T16:13:48Z</cp:lastPrinted>
  <dcterms:created xsi:type="dcterms:W3CDTF">1997-01-10T22:22:50Z</dcterms:created>
  <dcterms:modified xsi:type="dcterms:W3CDTF">2024-09-10T15:39:01Z</dcterms:modified>
</cp:coreProperties>
</file>