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PMC\Desktop\Calçamento Lino\"/>
    </mc:Choice>
  </mc:AlternateContent>
  <bookViews>
    <workbookView xWindow="0" yWindow="0" windowWidth="20400" windowHeight="7620" tabRatio="801" activeTab="8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BM!$C$15:$C$32</definedName>
    <definedName name="_xlnm._FilterDatabase" localSheetId="5" hidden="1">CÁLCULO!$C$15:$C$32</definedName>
    <definedName name="_xlnm._FilterDatabase" localSheetId="7" hidden="1">CRONO!$F$13:$F$48</definedName>
    <definedName name="_xlnm._FilterDatabase" localSheetId="8" hidden="1">CRONOPLE!$A$13:$A$15</definedName>
    <definedName name="_xlnm._FilterDatabase" localSheetId="4" hidden="1">ORÇAMENTO!$L$15:$L$32</definedName>
    <definedName name="_xlnm._FilterDatabase" localSheetId="9" hidden="1">PLE!$A$13:$A$34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BM!$D$1:$O$47</definedName>
    <definedName name="_xlnm.Print_Area" localSheetId="5">CÁLCULO!$E$4:$I$40</definedName>
    <definedName name="_xlnm.Print_Area" localSheetId="7">CRONO!$H$7:$AF$48</definedName>
    <definedName name="_xlnm.Print_Area" localSheetId="0">MENU!$A$1:$I$25</definedName>
    <definedName name="_xlnm.Print_Area" localSheetId="13">OFÍCIO!$A$1:$G$56</definedName>
    <definedName name="_xlnm.Print_Area" localSheetId="4">ORÇAMENTO!$O$4:$X$49</definedName>
    <definedName name="_xlnm.Print_Area" localSheetId="9">PLE!$B$3:$AG$35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BM!$C$15:$C$32</definedName>
    <definedName name="BM.firstrow" hidden="1">BM!$15:$15</definedName>
    <definedName name="BM.FormulaMed" hidden="1">BM!$AO$7</definedName>
    <definedName name="BM.lastrow" hidden="1">BM!$32:$32</definedName>
    <definedName name="BM.LinhaPadrão" hidden="1">BM!$14:$14</definedName>
    <definedName name="BM.MaxMed" hidden="1">IF(RegimeExecucao="Global",1,BM!$G1)</definedName>
    <definedName name="BM.MCAIXA.Filter" hidden="1">BM!$C$15:$Z$32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CÁLCULO!$C$15:$C$32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CÁLCULO!$32:$32</definedName>
    <definedName name="CÁLCULO.LinhaPadrão" hidden="1">CÁLCULO!$14:$14</definedName>
    <definedName name="CÁLCULO.margemrow" hidden="1">CÁLCULO!$40:$40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CÁLCULO!$32:$32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CÁLCULO!$32:$32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CÁLCULO!$32:$32</definedName>
    <definedName name="CÁLCULO.NúmeroDeEventos" hidden="1">IF(AUTOEVENTO&lt;&gt;"manual",MAX(CÁLCULO!$M$15:$M$32),MAX(OFFSET(EVENTOS!$C$14:$C$20,1,0)))</definedName>
    <definedName name="CÁLCULO.NúmeroDeFrentes" hidden="1">COLUMN(CÁLCULO!$AA$15)-COLUMN(CÁLCULO!$Q$15)</definedName>
    <definedName name="CÁLCULO.TotalAdmLocal" hidden="1">IF(AUTOEVENTO="manual",SUMIF(CÁLCULO!$M$15:$M$32,1,ORÇAMENTO!$X$15:$X$32),0)</definedName>
    <definedName name="CRONO.ColunaPadrão" hidden="1">CRONO!$D:$D</definedName>
    <definedName name="CRONO.Filtro" hidden="1">CRONO!$F$13:$F$48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CRONO!$43:$43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CRONO!$48:$48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CRONOPLE!$20:$20</definedName>
    <definedName name="CRONOPLE.LinhaPadrão" hidden="1">CRONOPLE!$1:$1</definedName>
    <definedName name="CRONOPLE.margemrow" hidden="1">CRONOPLE!$21:$21</definedName>
    <definedName name="CRONOPLE.ValorDoEvento" hidden="1">SUMIF(CÁLCULO!$M$15:$M$32,CRONOPLE!$B1,OFFSET(CÁLCULO!$AA$15:$AA$32,0,CRONOPLE!A$12))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EVENTOS!$20:$20</definedName>
    <definedName name="EVENTOS.LinhaPadrão" hidden="1">EVENTOS!$14:$14</definedName>
    <definedName name="EVENTOS.Lista" hidden="1">EVENTOS!$C$15:OFFSET(EVENTOS!$C$20,-1,0)</definedName>
    <definedName name="EVENTOS.ListaValidacao" hidden="1">EVENTOS!$B$15:OFFSET(EVENTOS!$B$20,-1,0)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BM!$D$35</definedName>
    <definedName name="Import.BMAFAcumulado" hidden="1">OFFSET(BM!$R$15,1,0):OFFSET(BM!$R$32,-1,0)</definedName>
    <definedName name="Import.BMArred" hidden="1">BM!$A$9</definedName>
    <definedName name="Import.CNPJ" hidden="1">DADOS!$F$38</definedName>
    <definedName name="Import.Código" hidden="1">OFFSET(ORÇAMENTO!$Q$15,1,0):OFFSET(ORÇAMENTO!$Q$32,-1,0)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OFFSET(CRONOPLE!$F$15,1,1):OFFSET(CRONOPLE!$AF$20,-1,-1)</definedName>
    <definedName name="Import.CTEF" hidden="1">DADOS!$F$36</definedName>
    <definedName name="Import.CustoUnitário" hidden="1">OFFSET(ORÇAMENTO!$U$15,1,0):OFFSET(ORÇAMENTO!$U$32,-1,0)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OFFSET(ORÇAMENTO!$R$15,1,0):OFFSET(ORÇAMENTO!$R$32,-1,0)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OFFSET(EVENTOS!$D$15,1,0):OFFSET(EVENTOS!$D$20,-1,0)</definedName>
    <definedName name="Import.Fonte" hidden="1">OFFSET(ORÇAMENTO!$P$15,1,0):OFFSET(ORÇAMENTO!$P$32,-1,0)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OFFSET(ORÇAMENTO!$M$15,1,0):OFFSET(ORÇAMENTO!$M$32,-1,0)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OFFSET(ORÇAMENTO!$V$15,1,0):OFFSET(ORÇAMENTO!$V$32,-1,0)</definedName>
    <definedName name="Import.ORÇAMENTO.DivRecurso" hidden="1">OFFSET(ORÇAMENTO!$Y$15,1,0):OFFSET(ORÇAMENTO!$Y$32,-1,0)</definedName>
    <definedName name="Import.ORÇAMENTO.Obs" hidden="1">ORÇAMENTO!$O$38</definedName>
    <definedName name="Import.PLE" hidden="1">OFFSET(PLE!$G$15,1,1):OFFSET(PLE!$AG$20,-1,-1)</definedName>
    <definedName name="Import.PLE.Datas" hidden="1">PLE!$I$23:$AF$23</definedName>
    <definedName name="Import.PLQ" hidden="1">OFFSET(CÁLCULO!$P$15,1,1):OFFSET(CÁLCULO!$AA$32,-1,-1)</definedName>
    <definedName name="Import.PLQ.MemCalc" hidden="1">OFFSET(CÁLCULO!$I$15,1,0):OFFSET(CÁLCULO!$I$32,-1,0)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OFFSET(ORÇAMENTO!$AJ$15,1,0):OFFSET(ORÇAMENTO!$AJ$32,-1,0)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OFFSET(ORÇAMENTO!$S$15,1,0):OFFSET(ORÇAMENTO!$S$32,-1,0)</definedName>
    <definedName name="Import.UnitarioLicitado" hidden="1">OFFSET(ORÇAMENTO!$AL$15,1,0):OFFSET(ORÇAMENTO!$AL$32,-1,0)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ORÇAMENTO!$L$15:$L$32</definedName>
    <definedName name="ORÇAMENTO.firstrow" hidden="1">ORÇAMENTO!$15:$15</definedName>
    <definedName name="ORÇAMENTO.Fonte" hidden="1">ORÇAMENTO!$P1</definedName>
    <definedName name="ORÇAMENTO.lastrow" hidden="1">ORÇAMENTO!$32:$32</definedName>
    <definedName name="ORÇAMENTO.LinhaPadrão" hidden="1">ORÇAMENTO!$14:$14</definedName>
    <definedName name="ORÇAMENTO.ListaCrono" hidden="1">OFFSET(ORÇAMENTO!$AD$15,1,0):OFFSET(ORÇAMENTO!$AD$32,-1,0)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OFFSET(ORÇAMENTO!$P$15,1,0):OFFSET(ORÇAMENTO!$S$32,-1,0)</definedName>
    <definedName name="ORÇAMENTO.PasteFormat2" hidden="1">OFFSET(ORÇAMENTO!$U$15,1,0):OFFSET(ORÇAMENTO!$V$32,-1,0)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OFFSET(ORÇAMENTO!$T$15,1,0):OFFSET(ORÇAMENTO!$T$32,-1,0)</definedName>
    <definedName name="ORÇAMENTO.SumCPMANUAL" hidden="1">SUMIF(ORÇAMENTO!$Z$15:$Z$32,"CP",ORÇAMENTO!$AA$15:$AA$32)</definedName>
    <definedName name="ORÇAMENTO.SumINVMANUAL" hidden="1">SUMIF(ORÇAMENTO!$Z$15:$Z$32,"RP",ORÇAMENTO!$X$15:$X$32)+SUMIF(ORÇAMENTO!$Z$15:$Z$32,"CP",ORÇAMENTO!$X$15:$X$32)+SUMIF(ORÇAMENTO!$Z$15:$Z$32,"OU",ORÇAMENTO!$X$15:$X$32)</definedName>
    <definedName name="ORÇAMENTO.SumOUTROSMANUAL" hidden="1">SUMIF(ORÇAMENTO!$Z$15:$Z$32,"OU",ORÇAMENTO!$AB$15:$AB$32)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PLE!$A$13:$A$34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PLE!$20:$20</definedName>
    <definedName name="PLE.LinhaPadrão" hidden="1">PLE!$1:$1</definedName>
    <definedName name="PLE.margemrow" hidden="1">PLE!$35:$35</definedName>
    <definedName name="PLE.Medicao" hidden="1">PLE!$J$9</definedName>
    <definedName name="PLE.MEDIÇÕES.firstrow" hidden="1">PLE!$21:$21</definedName>
    <definedName name="PLE.MEDIÇÕES.lastrow" hidden="1">PLE!$29:$29</definedName>
    <definedName name="PLE.MEDIÇÕES.LinhaPadrão" hidden="1">PLE!$21:$28</definedName>
    <definedName name="PLE.ValorDoEvento" hidden="1">SUMIF(CÁLCULO!$M$15:$M$32,PLE!$B1,OFFSET(CÁLCULO!$AA$15:$AA$32,0,PLE!A$12))</definedName>
    <definedName name="PO.ValoresBDI" hidden="1">OFFSET(ORÇAMENTO!$AH$15,1,0):OFFSET(ORÇAMENTO!$AH$32,-1,0)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H28" i="12" l="1"/>
  <c r="G28" i="12"/>
  <c r="F28" i="12"/>
  <c r="A28" i="5"/>
  <c r="R22" i="6"/>
  <c r="R25" i="6" s="1"/>
  <c r="R27" i="6" s="1"/>
  <c r="R26" i="6" l="1"/>
  <c r="R28" i="6" s="1"/>
  <c r="H31" i="12"/>
  <c r="G31" i="12"/>
  <c r="F31" i="12"/>
  <c r="A31" i="5"/>
  <c r="S26" i="6" l="1"/>
  <c r="Q20" i="6"/>
  <c r="S27" i="6" l="1"/>
  <c r="AJ20" i="5"/>
  <c r="H20" i="12" l="1"/>
  <c r="G20" i="12"/>
  <c r="F20" i="12"/>
  <c r="A20" i="5"/>
  <c r="H22" i="12"/>
  <c r="G22" i="12"/>
  <c r="F22" i="12"/>
  <c r="H21" i="12"/>
  <c r="G21" i="12"/>
  <c r="F21" i="12"/>
  <c r="A22" i="5"/>
  <c r="A21" i="5"/>
  <c r="H18" i="12"/>
  <c r="G18" i="12"/>
  <c r="F18" i="12"/>
  <c r="H17" i="12"/>
  <c r="G17" i="12"/>
  <c r="F17" i="12"/>
  <c r="A18" i="5"/>
  <c r="A17" i="5"/>
  <c r="H24" i="12" l="1"/>
  <c r="G24" i="12"/>
  <c r="F24" i="12"/>
  <c r="A24" i="5"/>
  <c r="H14" i="13"/>
  <c r="G14" i="13"/>
  <c r="D14" i="11"/>
  <c r="A14" i="11" s="1"/>
  <c r="H30" i="12"/>
  <c r="G30" i="12"/>
  <c r="F30" i="12"/>
  <c r="A30" i="5"/>
  <c r="H25" i="12"/>
  <c r="G25" i="12"/>
  <c r="F25" i="12"/>
  <c r="A25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E23" i="12"/>
  <c r="F23" i="12"/>
  <c r="G23" i="12"/>
  <c r="H23" i="12"/>
  <c r="F26" i="12"/>
  <c r="G26" i="12"/>
  <c r="H26" i="12"/>
  <c r="F27" i="12"/>
  <c r="G27" i="12"/>
  <c r="H27" i="12"/>
  <c r="F29" i="12"/>
  <c r="G29" i="12"/>
  <c r="H29" i="12"/>
  <c r="D39" i="12"/>
  <c r="D41" i="12"/>
  <c r="E42" i="12"/>
  <c r="K44" i="12" a="1"/>
  <c r="K45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4" i="10"/>
  <c r="N9" i="10" s="1"/>
  <c r="B30" i="10"/>
  <c r="W32" i="10" a="1"/>
  <c r="W35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S34" i="8"/>
  <c r="S39" i="8"/>
  <c r="H44" i="8"/>
  <c r="Z46" i="8" a="1"/>
  <c r="Z47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3" i="6"/>
  <c r="B32" i="6"/>
  <c r="C32" i="6"/>
  <c r="F36" i="6"/>
  <c r="I38" i="6" a="1"/>
  <c r="I38" i="6" s="1"/>
  <c r="T38" i="6" a="1"/>
  <c r="T38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3" i="5"/>
  <c r="A26" i="5"/>
  <c r="A27" i="5"/>
  <c r="A29" i="5"/>
  <c r="O42" i="5"/>
  <c r="O45" i="5"/>
  <c r="T47" i="5" a="1"/>
  <c r="T49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3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A46" i="4"/>
  <c r="C46" i="4" s="1"/>
  <c r="E29" i="12"/>
  <c r="F29" i="6"/>
  <c r="E12" i="13"/>
  <c r="A12" i="11"/>
  <c r="F24" i="6"/>
  <c r="E24" i="12"/>
  <c r="O8" i="5"/>
  <c r="J14" i="11" l="1"/>
  <c r="I14" i="13" s="1"/>
  <c r="K91" i="4"/>
  <c r="C3" i="4"/>
  <c r="A28" i="4"/>
  <c r="C28" i="4" s="1"/>
  <c r="C33" i="4"/>
  <c r="K24" i="10"/>
  <c r="M24" i="10" s="1"/>
  <c r="O24" i="10" s="1"/>
  <c r="Q24" i="10" s="1"/>
  <c r="S24" i="10" s="1"/>
  <c r="U24" i="10" s="1"/>
  <c r="W24" i="10" s="1"/>
  <c r="Y24" i="10" s="1"/>
  <c r="AA24" i="10" s="1"/>
  <c r="AC24" i="10" s="1"/>
  <c r="AE24" i="10" s="1"/>
  <c r="A16" i="4"/>
  <c r="C16" i="4" s="1"/>
  <c r="A47" i="4"/>
  <c r="C47" i="4" s="1"/>
  <c r="W33" i="10"/>
  <c r="O7" i="11"/>
  <c r="N16" i="5"/>
  <c r="D16" i="6" s="1"/>
  <c r="BB16" i="6" s="1"/>
  <c r="C17" i="5"/>
  <c r="AO13" i="6"/>
  <c r="AP13" i="6" s="1"/>
  <c r="A29" i="4"/>
  <c r="W32" i="10"/>
  <c r="W34" i="10"/>
  <c r="AC13" i="6"/>
  <c r="AD13" i="6" s="1"/>
  <c r="AD12" i="6" s="1"/>
  <c r="C4" i="4"/>
  <c r="N10" i="12"/>
  <c r="K52" i="4"/>
  <c r="T47" i="5"/>
  <c r="AM12" i="6"/>
  <c r="L15" i="12"/>
  <c r="C17" i="7"/>
  <c r="C18" i="7" s="1"/>
  <c r="E28" i="14"/>
  <c r="C14" i="14"/>
  <c r="B37" i="14"/>
  <c r="B42" i="14" s="1"/>
  <c r="T48" i="5"/>
  <c r="K47" i="12"/>
  <c r="K46" i="12"/>
  <c r="K44" i="12"/>
  <c r="AX12" i="6"/>
  <c r="D27" i="11"/>
  <c r="H47" i="8"/>
  <c r="P85" i="4"/>
  <c r="F16" i="5"/>
  <c r="A16" i="12"/>
  <c r="H16" i="5"/>
  <c r="O48" i="5"/>
  <c r="F39" i="6"/>
  <c r="T39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K131" i="4"/>
  <c r="A22" i="4"/>
  <c r="G15" i="9"/>
  <c r="M15" i="6"/>
  <c r="F5" i="5"/>
  <c r="AH28" i="5" s="1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S30" i="4"/>
  <c r="I59" i="4"/>
  <c r="I89" i="4"/>
  <c r="P45" i="4"/>
  <c r="I105" i="4"/>
  <c r="G5" i="5"/>
  <c r="W8" i="5" s="1"/>
  <c r="AE14" i="5"/>
  <c r="I99" i="4"/>
  <c r="I39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40" i="6"/>
  <c r="Z48" i="8"/>
  <c r="Z46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45" i="12"/>
  <c r="I113" i="4"/>
  <c r="I103" i="4"/>
  <c r="I107" i="4"/>
  <c r="L26" i="13"/>
  <c r="I126" i="4"/>
  <c r="I123" i="4"/>
  <c r="T40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H31" i="5" l="1"/>
  <c r="A48" i="4"/>
  <c r="A17" i="4"/>
  <c r="B19" i="10"/>
  <c r="B18" i="7"/>
  <c r="A14" i="6"/>
  <c r="N14" i="6" s="1"/>
  <c r="AH20" i="5"/>
  <c r="AH21" i="5"/>
  <c r="AN21" i="5" s="1"/>
  <c r="AH22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29" i="5"/>
  <c r="AH19" i="5"/>
  <c r="AN19" i="5" s="1"/>
  <c r="AH26" i="5"/>
  <c r="AH25" i="5"/>
  <c r="AH24" i="5"/>
  <c r="AN24" i="5" s="1"/>
  <c r="AH30" i="5"/>
  <c r="AH14" i="5"/>
  <c r="W14" i="5" s="1"/>
  <c r="AH27" i="5"/>
  <c r="V8" i="5"/>
  <c r="AH23" i="5"/>
  <c r="AH16" i="5"/>
  <c r="AN16" i="5" s="1"/>
  <c r="C22" i="4"/>
  <c r="A23" i="4"/>
  <c r="A36" i="4"/>
  <c r="C35" i="4"/>
  <c r="A49" i="4"/>
  <c r="C49" i="4" s="1"/>
  <c r="C48" i="4"/>
  <c r="C17" i="4"/>
  <c r="A18" i="4"/>
  <c r="A7" i="4"/>
  <c r="C7" i="4" s="1"/>
  <c r="C6" i="4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Z25" i="4" l="1"/>
  <c r="C19" i="7"/>
  <c r="B19" i="9"/>
  <c r="C19" i="10"/>
  <c r="M14" i="6"/>
  <c r="AP14" i="6" s="1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A28" i="6" l="1"/>
  <c r="A31" i="6"/>
  <c r="C19" i="9"/>
  <c r="AC14" i="6"/>
  <c r="AB14" i="6"/>
  <c r="AO14" i="6"/>
  <c r="AD14" i="6"/>
  <c r="AZ14" i="6"/>
  <c r="BA14" i="6"/>
  <c r="AY14" i="6"/>
  <c r="AN14" i="6"/>
  <c r="AQ14" i="6"/>
  <c r="AM14" i="6"/>
  <c r="AX14" i="6"/>
  <c r="AE14" i="6"/>
  <c r="A16" i="6"/>
  <c r="B19" i="7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A18" i="6" l="1"/>
  <c r="N18" i="6" s="1"/>
  <c r="A19" i="6"/>
  <c r="A17" i="6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U109" i="4" s="1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M18" i="6" l="1"/>
  <c r="BA18" i="6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J112" i="4"/>
  <c r="K112" i="4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AF18" i="6" l="1"/>
  <c r="AU18" i="6"/>
  <c r="BC18" i="6"/>
  <c r="AM18" i="6"/>
  <c r="AP18" i="6"/>
  <c r="AG18" i="6"/>
  <c r="AO18" i="6"/>
  <c r="AQ18" i="6"/>
  <c r="AB18" i="6"/>
  <c r="AR18" i="6"/>
  <c r="BB18" i="6"/>
  <c r="AC18" i="6"/>
  <c r="AN18" i="6"/>
  <c r="AS18" i="6"/>
  <c r="AH18" i="6"/>
  <c r="AE18" i="6"/>
  <c r="BE18" i="6"/>
  <c r="AZ18" i="6"/>
  <c r="AY18" i="6"/>
  <c r="BD18" i="6"/>
  <c r="AT18" i="6"/>
  <c r="AD18" i="6"/>
  <c r="AX18" i="6"/>
  <c r="A20" i="6"/>
  <c r="N20" i="6" s="1"/>
  <c r="L20" i="12"/>
  <c r="K20" i="12" s="1"/>
  <c r="H20" i="6"/>
  <c r="T20" i="5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M20" i="6" l="1"/>
  <c r="BA20" i="6" s="1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E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BG20" i="6"/>
  <c r="C21" i="5"/>
  <c r="H21" i="5" s="1"/>
  <c r="BG18" i="6"/>
  <c r="R11" i="10"/>
  <c r="S12" i="10"/>
  <c r="BG12" i="6"/>
  <c r="BG14" i="6"/>
  <c r="O11" i="9"/>
  <c r="P12" i="9"/>
  <c r="G21" i="5" l="1"/>
  <c r="AD21" i="5"/>
  <c r="AE21" i="5"/>
  <c r="A21" i="12"/>
  <c r="B21" i="6"/>
  <c r="A21" i="6" s="1"/>
  <c r="C22" i="5"/>
  <c r="W21" i="5"/>
  <c r="N21" i="5"/>
  <c r="D21" i="6" s="1"/>
  <c r="AT21" i="6" s="1"/>
  <c r="B21" i="5"/>
  <c r="F21" i="5"/>
  <c r="E21" i="5"/>
  <c r="T12" i="10"/>
  <c r="S11" i="10"/>
  <c r="Q12" i="9"/>
  <c r="P11" i="9"/>
  <c r="BC21" i="6" l="1"/>
  <c r="AV21" i="6"/>
  <c r="BD21" i="6"/>
  <c r="BA21" i="6"/>
  <c r="AX21" i="6"/>
  <c r="BE21" i="6"/>
  <c r="BF21" i="6"/>
  <c r="AQ21" i="6"/>
  <c r="AY21" i="6"/>
  <c r="AN21" i="6"/>
  <c r="AM21" i="6"/>
  <c r="BB21" i="6"/>
  <c r="N21" i="6"/>
  <c r="AR21" i="6"/>
  <c r="M21" i="6"/>
  <c r="BG21" i="6" s="1"/>
  <c r="AZ21" i="6"/>
  <c r="AO21" i="6"/>
  <c r="H21" i="6"/>
  <c r="F22" i="5"/>
  <c r="AE22" i="5"/>
  <c r="AD22" i="5"/>
  <c r="B22" i="5"/>
  <c r="N22" i="5"/>
  <c r="D22" i="6" s="1"/>
  <c r="H22" i="5"/>
  <c r="G22" i="5"/>
  <c r="E22" i="5"/>
  <c r="D22" i="5"/>
  <c r="B22" i="12" s="1"/>
  <c r="J22" i="5"/>
  <c r="A22" i="12"/>
  <c r="B22" i="6"/>
  <c r="K22" i="5"/>
  <c r="AU21" i="6"/>
  <c r="AS21" i="6"/>
  <c r="AP21" i="6"/>
  <c r="T11" i="10"/>
  <c r="U12" i="10"/>
  <c r="R12" i="9"/>
  <c r="Q11" i="9"/>
  <c r="C23" i="5" l="1"/>
  <c r="N23" i="5" s="1"/>
  <c r="D23" i="6" s="1"/>
  <c r="N23" i="6" s="1"/>
  <c r="A22" i="6"/>
  <c r="M22" i="6" s="1"/>
  <c r="BD22" i="6" s="1"/>
  <c r="AB21" i="6"/>
  <c r="T21" i="5"/>
  <c r="AG21" i="6"/>
  <c r="AF21" i="6"/>
  <c r="AI21" i="6"/>
  <c r="AC21" i="6"/>
  <c r="AD21" i="6"/>
  <c r="AE21" i="6"/>
  <c r="AK21" i="6"/>
  <c r="AJ21" i="6"/>
  <c r="AH21" i="6"/>
  <c r="H22" i="6"/>
  <c r="J22" i="12"/>
  <c r="L22" i="12"/>
  <c r="U11" i="10"/>
  <c r="V12" i="10"/>
  <c r="R11" i="9"/>
  <c r="S12" i="9"/>
  <c r="W23" i="5" l="1"/>
  <c r="B23" i="6"/>
  <c r="A23" i="6" s="1"/>
  <c r="AD23" i="5"/>
  <c r="H23" i="5"/>
  <c r="AE23" i="5"/>
  <c r="E23" i="5"/>
  <c r="A23" i="12"/>
  <c r="I23" i="5"/>
  <c r="G23" i="5"/>
  <c r="B23" i="5"/>
  <c r="F23" i="5"/>
  <c r="K19" i="5" s="1"/>
  <c r="AM23" i="6"/>
  <c r="BG23" i="6"/>
  <c r="BC23" i="6"/>
  <c r="AO23" i="6"/>
  <c r="M23" i="6"/>
  <c r="AX23" i="6"/>
  <c r="AQ23" i="6"/>
  <c r="BF23" i="6"/>
  <c r="BD23" i="6"/>
  <c r="G23" i="6"/>
  <c r="AP23" i="6"/>
  <c r="AV23" i="6"/>
  <c r="AN23" i="6"/>
  <c r="AY23" i="6"/>
  <c r="AZ23" i="6"/>
  <c r="AS23" i="6"/>
  <c r="AR23" i="6"/>
  <c r="BB23" i="6"/>
  <c r="H23" i="6"/>
  <c r="AT23" i="6"/>
  <c r="BE23" i="6"/>
  <c r="BA23" i="6"/>
  <c r="AU23" i="6"/>
  <c r="AU22" i="6"/>
  <c r="AZ22" i="6"/>
  <c r="AX22" i="6"/>
  <c r="AG22" i="6"/>
  <c r="AO22" i="6"/>
  <c r="AK22" i="6"/>
  <c r="AS22" i="6"/>
  <c r="AJ22" i="6"/>
  <c r="BF22" i="6"/>
  <c r="AN22" i="6"/>
  <c r="AT22" i="6"/>
  <c r="BG22" i="6"/>
  <c r="AV22" i="6"/>
  <c r="AR22" i="6"/>
  <c r="K22" i="12"/>
  <c r="BE22" i="6"/>
  <c r="AP22" i="6"/>
  <c r="T22" i="5"/>
  <c r="AE22" i="6"/>
  <c r="AH22" i="6"/>
  <c r="BC22" i="6"/>
  <c r="AM22" i="6"/>
  <c r="AY22" i="6"/>
  <c r="BA22" i="6"/>
  <c r="BB22" i="6"/>
  <c r="AQ22" i="6"/>
  <c r="AI22" i="6"/>
  <c r="AF22" i="6"/>
  <c r="W12" i="10"/>
  <c r="V11" i="10"/>
  <c r="S11" i="9"/>
  <c r="T12" i="9"/>
  <c r="AE23" i="6" l="1"/>
  <c r="AG23" i="6"/>
  <c r="AK23" i="6"/>
  <c r="T23" i="5"/>
  <c r="AF23" i="6"/>
  <c r="AI23" i="6"/>
  <c r="AH23" i="6"/>
  <c r="AB23" i="6"/>
  <c r="AD23" i="6"/>
  <c r="AC23" i="6"/>
  <c r="AJ23" i="6"/>
  <c r="W11" i="10"/>
  <c r="X12" i="10"/>
  <c r="T11" i="9"/>
  <c r="U12" i="9"/>
  <c r="X11" i="10" l="1"/>
  <c r="Y12" i="10"/>
  <c r="V12" i="9"/>
  <c r="U11" i="9"/>
  <c r="Z12" i="10" l="1"/>
  <c r="Y11" i="10"/>
  <c r="W12" i="9"/>
  <c r="V11" i="9"/>
  <c r="C24" i="5" l="1"/>
  <c r="AA12" i="10"/>
  <c r="Z11" i="10"/>
  <c r="W11" i="9"/>
  <c r="X12" i="9"/>
  <c r="AE24" i="5" l="1"/>
  <c r="F24" i="5"/>
  <c r="C25" i="5"/>
  <c r="A24" i="12"/>
  <c r="W24" i="5"/>
  <c r="AD24" i="5"/>
  <c r="B24" i="6"/>
  <c r="H24" i="5"/>
  <c r="G24" i="5"/>
  <c r="E24" i="5"/>
  <c r="N24" i="5"/>
  <c r="D24" i="6" s="1"/>
  <c r="I24" i="5"/>
  <c r="B24" i="5"/>
  <c r="AA11" i="10"/>
  <c r="AB12" i="10"/>
  <c r="X11" i="9"/>
  <c r="Y12" i="9"/>
  <c r="A24" i="6" l="1"/>
  <c r="B25" i="5"/>
  <c r="G25" i="5"/>
  <c r="F25" i="5"/>
  <c r="AD25" i="5"/>
  <c r="B25" i="6"/>
  <c r="H25" i="5"/>
  <c r="D25" i="5"/>
  <c r="B25" i="12" s="1"/>
  <c r="E25" i="5"/>
  <c r="K25" i="5"/>
  <c r="A25" i="12"/>
  <c r="AE25" i="5"/>
  <c r="J25" i="5"/>
  <c r="N25" i="5"/>
  <c r="D25" i="6" s="1"/>
  <c r="BF24" i="6"/>
  <c r="AV24" i="6"/>
  <c r="BE24" i="6"/>
  <c r="AX24" i="6"/>
  <c r="AQ24" i="6"/>
  <c r="AO24" i="6"/>
  <c r="AU24" i="6"/>
  <c r="BC24" i="6"/>
  <c r="BA24" i="6"/>
  <c r="N24" i="6"/>
  <c r="M24" i="6"/>
  <c r="H24" i="6"/>
  <c r="AS24" i="6"/>
  <c r="BD24" i="6"/>
  <c r="G24" i="6"/>
  <c r="BB24" i="6"/>
  <c r="AN24" i="6"/>
  <c r="AZ24" i="6"/>
  <c r="BG24" i="6"/>
  <c r="AP24" i="6"/>
  <c r="AM24" i="6"/>
  <c r="AT24" i="6"/>
  <c r="AR24" i="6"/>
  <c r="AY24" i="6"/>
  <c r="AB11" i="10"/>
  <c r="AC12" i="10"/>
  <c r="Y11" i="9"/>
  <c r="Z12" i="9"/>
  <c r="A25" i="6" l="1"/>
  <c r="M25" i="6" s="1"/>
  <c r="AG24" i="6"/>
  <c r="T24" i="5"/>
  <c r="AE24" i="6"/>
  <c r="AB24" i="6"/>
  <c r="AC24" i="6"/>
  <c r="AF24" i="6"/>
  <c r="AK24" i="6"/>
  <c r="AH24" i="6"/>
  <c r="AI24" i="6"/>
  <c r="AJ24" i="6"/>
  <c r="H25" i="6"/>
  <c r="AD24" i="6"/>
  <c r="C26" i="5"/>
  <c r="L25" i="12"/>
  <c r="J25" i="12"/>
  <c r="AD12" i="10"/>
  <c r="AC11" i="10"/>
  <c r="AA12" i="9"/>
  <c r="Z11" i="9"/>
  <c r="N25" i="6" l="1"/>
  <c r="T25" i="5"/>
  <c r="AK25" i="6"/>
  <c r="AG25" i="6"/>
  <c r="AJ25" i="6"/>
  <c r="AE25" i="6"/>
  <c r="AH25" i="6"/>
  <c r="AF25" i="6"/>
  <c r="AI25" i="6"/>
  <c r="E26" i="5"/>
  <c r="B26" i="5"/>
  <c r="D26" i="5"/>
  <c r="B26" i="12" s="1"/>
  <c r="A26" i="12"/>
  <c r="J26" i="5"/>
  <c r="H26" i="5"/>
  <c r="AE26" i="5"/>
  <c r="N26" i="5"/>
  <c r="D26" i="6" s="1"/>
  <c r="AD26" i="5"/>
  <c r="F26" i="5"/>
  <c r="G26" i="5"/>
  <c r="K26" i="5"/>
  <c r="B26" i="6"/>
  <c r="C27" i="5"/>
  <c r="C28" i="5" s="1"/>
  <c r="AV25" i="6"/>
  <c r="AQ25" i="6"/>
  <c r="AY25" i="6"/>
  <c r="AP25" i="6"/>
  <c r="BA25" i="6"/>
  <c r="BF25" i="6"/>
  <c r="BD25" i="6"/>
  <c r="AX25" i="6"/>
  <c r="AO25" i="6"/>
  <c r="AU25" i="6"/>
  <c r="AN25" i="6"/>
  <c r="BB25" i="6"/>
  <c r="AS25" i="6"/>
  <c r="BE25" i="6"/>
  <c r="AR25" i="6"/>
  <c r="BC25" i="6"/>
  <c r="AT25" i="6"/>
  <c r="BG25" i="6"/>
  <c r="AZ25" i="6"/>
  <c r="AM25" i="6"/>
  <c r="K25" i="12"/>
  <c r="AD11" i="10"/>
  <c r="AE12" i="10"/>
  <c r="AB12" i="9"/>
  <c r="AA11" i="9"/>
  <c r="B28" i="6" l="1"/>
  <c r="AD28" i="5"/>
  <c r="D28" i="5"/>
  <c r="B28" i="12" s="1"/>
  <c r="A28" i="12"/>
  <c r="K28" i="5"/>
  <c r="AE28" i="5"/>
  <c r="J28" i="5"/>
  <c r="N28" i="5"/>
  <c r="A26" i="6"/>
  <c r="N26" i="6" s="1"/>
  <c r="H26" i="6"/>
  <c r="L26" i="12"/>
  <c r="J26" i="12"/>
  <c r="A27" i="12"/>
  <c r="G27" i="5"/>
  <c r="G28" i="5" s="1"/>
  <c r="J27" i="5"/>
  <c r="B27" i="5"/>
  <c r="B28" i="5" s="1"/>
  <c r="AE27" i="5"/>
  <c r="B27" i="6"/>
  <c r="AD27" i="5"/>
  <c r="N27" i="5"/>
  <c r="D27" i="6" s="1"/>
  <c r="E27" i="5"/>
  <c r="E28" i="5" s="1"/>
  <c r="H27" i="5"/>
  <c r="H28" i="5" s="1"/>
  <c r="D27" i="5"/>
  <c r="B27" i="12" s="1"/>
  <c r="F27" i="5"/>
  <c r="F28" i="5" s="1"/>
  <c r="K27" i="5"/>
  <c r="AE11" i="10"/>
  <c r="AF12" i="10"/>
  <c r="AF11" i="10" s="1"/>
  <c r="AC12" i="9"/>
  <c r="AB11" i="9"/>
  <c r="D28" i="6" l="1"/>
  <c r="J28" i="12"/>
  <c r="L28" i="12"/>
  <c r="M26" i="6"/>
  <c r="AQ26" i="6" s="1"/>
  <c r="A27" i="6"/>
  <c r="M27" i="6" s="1"/>
  <c r="BF27" i="6" s="1"/>
  <c r="K26" i="12"/>
  <c r="L27" i="12"/>
  <c r="J27" i="12"/>
  <c r="T26" i="5"/>
  <c r="H27" i="6"/>
  <c r="AD12" i="9"/>
  <c r="AC11" i="9"/>
  <c r="K28" i="12" l="1"/>
  <c r="N28" i="6"/>
  <c r="M28" i="6"/>
  <c r="AV28" i="6" s="1"/>
  <c r="H28" i="6"/>
  <c r="T28" i="5" s="1"/>
  <c r="AV26" i="6"/>
  <c r="AP26" i="6"/>
  <c r="AN26" i="6"/>
  <c r="AR26" i="6"/>
  <c r="AO26" i="6"/>
  <c r="AY26" i="6"/>
  <c r="AT26" i="6"/>
  <c r="AG26" i="6"/>
  <c r="AS26" i="6"/>
  <c r="BA26" i="6"/>
  <c r="BC26" i="6"/>
  <c r="AH26" i="6"/>
  <c r="BG26" i="6"/>
  <c r="BE26" i="6"/>
  <c r="AZ26" i="6"/>
  <c r="BF26" i="6"/>
  <c r="AI26" i="6"/>
  <c r="AK26" i="6"/>
  <c r="AX26" i="6"/>
  <c r="AJ26" i="6"/>
  <c r="AE26" i="6"/>
  <c r="N27" i="6"/>
  <c r="AM26" i="6"/>
  <c r="BB26" i="6"/>
  <c r="AU26" i="6"/>
  <c r="AF26" i="6"/>
  <c r="BD26" i="6"/>
  <c r="K27" i="12"/>
  <c r="AY27" i="6"/>
  <c r="AS27" i="6"/>
  <c r="AX27" i="6"/>
  <c r="BD27" i="6"/>
  <c r="AQ27" i="6"/>
  <c r="BE27" i="6"/>
  <c r="BG27" i="6"/>
  <c r="AP27" i="6"/>
  <c r="AO27" i="6"/>
  <c r="AM27" i="6"/>
  <c r="BA27" i="6"/>
  <c r="AN27" i="6"/>
  <c r="AU27" i="6"/>
  <c r="AZ27" i="6"/>
  <c r="BC27" i="6"/>
  <c r="AR27" i="6"/>
  <c r="AV27" i="6"/>
  <c r="BB27" i="6"/>
  <c r="AT27" i="6"/>
  <c r="T27" i="5"/>
  <c r="AG27" i="6"/>
  <c r="AK27" i="6"/>
  <c r="AI27" i="6"/>
  <c r="AE27" i="6"/>
  <c r="AF27" i="6"/>
  <c r="AH27" i="6"/>
  <c r="AJ27" i="6"/>
  <c r="AE12" i="9"/>
  <c r="AE11" i="9" s="1"/>
  <c r="AD11" i="9"/>
  <c r="AS28" i="6" l="1"/>
  <c r="AI28" i="6"/>
  <c r="AX28" i="6"/>
  <c r="AK28" i="6"/>
  <c r="AH28" i="6"/>
  <c r="BA28" i="6"/>
  <c r="AF28" i="6"/>
  <c r="BF28" i="6"/>
  <c r="AT28" i="6"/>
  <c r="AZ28" i="6"/>
  <c r="AO28" i="6"/>
  <c r="BC28" i="6"/>
  <c r="AP28" i="6"/>
  <c r="BG28" i="6"/>
  <c r="AM28" i="6"/>
  <c r="BD28" i="6"/>
  <c r="AN28" i="6"/>
  <c r="BE28" i="6"/>
  <c r="AQ28" i="6"/>
  <c r="AR28" i="6"/>
  <c r="AJ28" i="6"/>
  <c r="BB28" i="6"/>
  <c r="AG28" i="6"/>
  <c r="AY28" i="6"/>
  <c r="AU28" i="6"/>
  <c r="AE28" i="6"/>
  <c r="A30" i="6" l="1"/>
  <c r="K21" i="5" l="1"/>
  <c r="C16" i="9" l="1"/>
  <c r="C16" i="10"/>
  <c r="A1" i="9"/>
  <c r="C1" i="9"/>
  <c r="C17" i="10"/>
  <c r="C17" i="9"/>
  <c r="C1" i="10"/>
  <c r="A1" i="10"/>
  <c r="AO12" i="13"/>
  <c r="AL12" i="13"/>
  <c r="AN12" i="13" l="1"/>
  <c r="AM12" i="13"/>
  <c r="AK12" i="13"/>
  <c r="C29" i="5" l="1"/>
  <c r="AE29" i="5" l="1"/>
  <c r="E29" i="5"/>
  <c r="W29" i="5"/>
  <c r="B29" i="6"/>
  <c r="A29" i="6" s="1"/>
  <c r="AD29" i="5"/>
  <c r="B29" i="5"/>
  <c r="G29" i="5"/>
  <c r="H29" i="5"/>
  <c r="F29" i="5"/>
  <c r="A29" i="12"/>
  <c r="I29" i="5"/>
  <c r="N29" i="5"/>
  <c r="D29" i="6" s="1"/>
  <c r="C30" i="5"/>
  <c r="AU29" i="6" l="1"/>
  <c r="BA29" i="6"/>
  <c r="AO29" i="6"/>
  <c r="AY29" i="6"/>
  <c r="AQ29" i="6"/>
  <c r="BG29" i="6"/>
  <c r="N29" i="6"/>
  <c r="H29" i="6"/>
  <c r="T29" i="5" s="1"/>
  <c r="AT29" i="6"/>
  <c r="AX29" i="6"/>
  <c r="AR29" i="6"/>
  <c r="AV29" i="6"/>
  <c r="G29" i="6"/>
  <c r="BF29" i="6"/>
  <c r="AZ29" i="6"/>
  <c r="BE29" i="6"/>
  <c r="AN29" i="6"/>
  <c r="BC29" i="6"/>
  <c r="AM29" i="6"/>
  <c r="M29" i="6"/>
  <c r="AC29" i="6" s="1"/>
  <c r="AS29" i="6"/>
  <c r="BD29" i="6"/>
  <c r="BB29" i="6"/>
  <c r="AP29" i="6"/>
  <c r="C31" i="5"/>
  <c r="AE30" i="5"/>
  <c r="G30" i="5"/>
  <c r="N30" i="5"/>
  <c r="D30" i="6" s="1"/>
  <c r="H30" i="5"/>
  <c r="K30" i="5"/>
  <c r="D30" i="5"/>
  <c r="B30" i="12" s="1"/>
  <c r="B30" i="6"/>
  <c r="B30" i="5"/>
  <c r="AD30" i="5"/>
  <c r="J30" i="5"/>
  <c r="F30" i="5"/>
  <c r="A30" i="12"/>
  <c r="E30" i="5"/>
  <c r="K23" i="5"/>
  <c r="B31" i="5" l="1"/>
  <c r="AF29" i="6"/>
  <c r="H31" i="5"/>
  <c r="AI29" i="6"/>
  <c r="E31" i="5"/>
  <c r="J16" i="5" s="1"/>
  <c r="AJ29" i="6"/>
  <c r="AG29" i="6"/>
  <c r="AB29" i="6"/>
  <c r="J30" i="12"/>
  <c r="L30" i="12"/>
  <c r="B31" i="6"/>
  <c r="AE31" i="5"/>
  <c r="D31" i="5"/>
  <c r="B31" i="12" s="1"/>
  <c r="AD31" i="5"/>
  <c r="E26" i="8" s="1"/>
  <c r="E27" i="8" s="1"/>
  <c r="K31" i="5"/>
  <c r="A31" i="12"/>
  <c r="N31" i="5"/>
  <c r="D31" i="6" s="1"/>
  <c r="J31" i="5"/>
  <c r="F31" i="5"/>
  <c r="J21" i="5" s="1"/>
  <c r="D21" i="5" s="1"/>
  <c r="B21" i="12" s="1"/>
  <c r="A5" i="5"/>
  <c r="AE29" i="6"/>
  <c r="AK29" i="6"/>
  <c r="M30" i="6"/>
  <c r="AZ30" i="6" s="1"/>
  <c r="N30" i="6"/>
  <c r="H30" i="6"/>
  <c r="T30" i="5" s="1"/>
  <c r="G31" i="5"/>
  <c r="K24" i="5" s="1"/>
  <c r="AD29" i="6"/>
  <c r="AH29" i="6"/>
  <c r="E17" i="8" l="1"/>
  <c r="E18" i="8" s="1"/>
  <c r="I17" i="8" s="1"/>
  <c r="E14" i="8"/>
  <c r="E15" i="8" s="1"/>
  <c r="E23" i="8"/>
  <c r="E24" i="8" s="1"/>
  <c r="I23" i="8" s="1"/>
  <c r="J23" i="5"/>
  <c r="D23" i="5" s="1"/>
  <c r="B23" i="12" s="1"/>
  <c r="BF30" i="6"/>
  <c r="AR30" i="6"/>
  <c r="AS30" i="6"/>
  <c r="BG30" i="6"/>
  <c r="K16" i="5"/>
  <c r="D16" i="5" s="1"/>
  <c r="AO30" i="6"/>
  <c r="AY30" i="6"/>
  <c r="AT30" i="6"/>
  <c r="BA30" i="6"/>
  <c r="A12" i="13"/>
  <c r="B12" i="13" s="1"/>
  <c r="AJ12" i="13" s="1"/>
  <c r="BB30" i="6"/>
  <c r="AP30" i="6"/>
  <c r="AV30" i="6"/>
  <c r="B12" i="11"/>
  <c r="AB12" i="11" s="1"/>
  <c r="N12" i="11" s="1"/>
  <c r="AQ30" i="6"/>
  <c r="AN30" i="6"/>
  <c r="BE30" i="6"/>
  <c r="K30" i="12"/>
  <c r="J29" i="5"/>
  <c r="AH30" i="6"/>
  <c r="AG30" i="6"/>
  <c r="AE30" i="6"/>
  <c r="K29" i="5"/>
  <c r="AI30" i="6"/>
  <c r="AU30" i="6"/>
  <c r="BD30" i="6"/>
  <c r="J19" i="5"/>
  <c r="D19" i="5" s="1"/>
  <c r="B19" i="12" s="1"/>
  <c r="E20" i="8"/>
  <c r="E21" i="8" s="1"/>
  <c r="L26" i="8"/>
  <c r="O26" i="8" s="1"/>
  <c r="I26" i="8"/>
  <c r="N31" i="6"/>
  <c r="M31" i="6"/>
  <c r="AQ31" i="6" s="1"/>
  <c r="H31" i="6"/>
  <c r="T31" i="5" s="1"/>
  <c r="L17" i="8"/>
  <c r="P17" i="8" s="1"/>
  <c r="L31" i="12"/>
  <c r="J31" i="12"/>
  <c r="E1" i="8"/>
  <c r="E2" i="8" s="1"/>
  <c r="E29" i="8"/>
  <c r="E30" i="8" s="1"/>
  <c r="I14" i="8"/>
  <c r="L14" i="8"/>
  <c r="R16" i="8" s="1"/>
  <c r="AM30" i="6"/>
  <c r="AF30" i="6"/>
  <c r="AK30" i="6"/>
  <c r="AX30" i="6"/>
  <c r="BC30" i="6"/>
  <c r="AJ30" i="6"/>
  <c r="J24" i="5"/>
  <c r="D24" i="5" s="1"/>
  <c r="B24" i="12" s="1"/>
  <c r="J17" i="5"/>
  <c r="D17" i="5" s="1"/>
  <c r="B17" i="12" s="1"/>
  <c r="E21" i="12"/>
  <c r="F21" i="6"/>
  <c r="N22" i="6" s="1"/>
  <c r="L23" i="8" l="1"/>
  <c r="O23" i="8" s="1"/>
  <c r="K12" i="11"/>
  <c r="J12" i="13" s="1"/>
  <c r="AT31" i="6"/>
  <c r="D29" i="5"/>
  <c r="B29" i="12" s="1"/>
  <c r="BD31" i="6"/>
  <c r="B14" i="13"/>
  <c r="B16" i="12"/>
  <c r="O14" i="8"/>
  <c r="C12" i="13"/>
  <c r="K12" i="13" s="1"/>
  <c r="AZ31" i="6"/>
  <c r="BG31" i="6"/>
  <c r="P14" i="8"/>
  <c r="O12" i="11"/>
  <c r="W12" i="11" s="1"/>
  <c r="G12" i="11"/>
  <c r="F12" i="13" s="1"/>
  <c r="BA31" i="6"/>
  <c r="AS31" i="6"/>
  <c r="P26" i="8"/>
  <c r="AA12" i="11"/>
  <c r="AY31" i="6"/>
  <c r="AU31" i="6"/>
  <c r="AV31" i="6"/>
  <c r="BF31" i="6"/>
  <c r="AN31" i="6"/>
  <c r="BB31" i="6"/>
  <c r="AP31" i="6"/>
  <c r="AM31" i="6"/>
  <c r="AF31" i="6"/>
  <c r="AF15" i="6" s="1"/>
  <c r="U15" i="6" s="1"/>
  <c r="AI31" i="6"/>
  <c r="AI15" i="6" s="1"/>
  <c r="X15" i="6" s="1"/>
  <c r="AE31" i="6"/>
  <c r="AE15" i="6" s="1"/>
  <c r="T15" i="6" s="1"/>
  <c r="N14" i="8"/>
  <c r="AX31" i="6"/>
  <c r="BC31" i="6"/>
  <c r="AG31" i="6"/>
  <c r="AG15" i="6" s="1"/>
  <c r="V15" i="6" s="1"/>
  <c r="AR31" i="6"/>
  <c r="AO31" i="6"/>
  <c r="R25" i="8"/>
  <c r="P1" i="8"/>
  <c r="O1" i="8"/>
  <c r="N1" i="8"/>
  <c r="L1" i="8"/>
  <c r="I1" i="8"/>
  <c r="R1" i="8"/>
  <c r="F1" i="8" s="1"/>
  <c r="M1" i="8"/>
  <c r="H1" i="8"/>
  <c r="I29" i="8"/>
  <c r="L29" i="8"/>
  <c r="R19" i="8"/>
  <c r="R28" i="8"/>
  <c r="P23" i="8"/>
  <c r="K31" i="12"/>
  <c r="O17" i="8"/>
  <c r="AH31" i="6"/>
  <c r="AH15" i="6" s="1"/>
  <c r="W15" i="6" s="1"/>
  <c r="AJ31" i="6"/>
  <c r="AJ15" i="6" s="1"/>
  <c r="Y15" i="6" s="1"/>
  <c r="AK31" i="6"/>
  <c r="AK15" i="6" s="1"/>
  <c r="Z15" i="6" s="1"/>
  <c r="BE31" i="6"/>
  <c r="M12" i="6"/>
  <c r="L20" i="8"/>
  <c r="P20" i="8" s="1"/>
  <c r="I20" i="8"/>
  <c r="N23" i="8"/>
  <c r="C18" i="9"/>
  <c r="C18" i="10"/>
  <c r="D15" i="5" l="1"/>
  <c r="T12" i="13"/>
  <c r="R12" i="13"/>
  <c r="L12" i="13"/>
  <c r="V12" i="13" s="1"/>
  <c r="M12" i="13"/>
  <c r="C12" i="11"/>
  <c r="S12" i="13"/>
  <c r="Z12" i="11"/>
  <c r="U12" i="13"/>
  <c r="O12" i="13"/>
  <c r="O29" i="8"/>
  <c r="P29" i="8"/>
  <c r="R22" i="8"/>
  <c r="Q1" i="8"/>
  <c r="R3" i="8"/>
  <c r="N20" i="8"/>
  <c r="O20" i="8"/>
  <c r="R31" i="8"/>
  <c r="N26" i="8"/>
  <c r="F2" i="8"/>
  <c r="G1" i="8"/>
  <c r="I2" i="8" s="1"/>
  <c r="G2" i="8"/>
  <c r="N17" i="8"/>
  <c r="I21" i="5"/>
  <c r="N12" i="13" l="1"/>
  <c r="D12" i="13"/>
  <c r="P12" i="13"/>
  <c r="U3" i="8"/>
  <c r="AE3" i="8"/>
  <c r="AD1" i="8"/>
  <c r="T3" i="8"/>
  <c r="AE1" i="8"/>
  <c r="X1" i="8"/>
  <c r="C1" i="8"/>
  <c r="V3" i="8"/>
  <c r="Z3" i="8"/>
  <c r="U1" i="8"/>
  <c r="W1" i="8"/>
  <c r="Z1" i="8"/>
  <c r="X3" i="8"/>
  <c r="V1" i="8"/>
  <c r="Y3" i="8"/>
  <c r="AD3" i="8"/>
  <c r="AB1" i="8"/>
  <c r="D3" i="8"/>
  <c r="W3" i="8"/>
  <c r="Y1" i="8"/>
  <c r="AC1" i="8"/>
  <c r="D1" i="8"/>
  <c r="E3" i="8"/>
  <c r="T1" i="8"/>
  <c r="AA3" i="8"/>
  <c r="AB3" i="8"/>
  <c r="B1" i="8"/>
  <c r="AC3" i="8"/>
  <c r="AA1" i="8"/>
  <c r="G21" i="6"/>
  <c r="M29" i="8" l="1"/>
  <c r="M17" i="8"/>
  <c r="Q17" i="8" s="1"/>
  <c r="M20" i="8"/>
  <c r="Q20" i="8" s="1"/>
  <c r="E22" i="8" s="1"/>
  <c r="M14" i="8"/>
  <c r="Q14" i="8" s="1"/>
  <c r="M23" i="8"/>
  <c r="Q23" i="8" s="1"/>
  <c r="E25" i="8" s="1"/>
  <c r="M26" i="8"/>
  <c r="Q26" i="8" s="1"/>
  <c r="E28" i="8" s="1"/>
  <c r="X22" i="8" l="1"/>
  <c r="AA22" i="8"/>
  <c r="AB22" i="8"/>
  <c r="AD22" i="8"/>
  <c r="Y22" i="8"/>
  <c r="W22" i="8"/>
  <c r="AE22" i="8"/>
  <c r="AC22" i="8"/>
  <c r="Z22" i="8"/>
  <c r="V22" i="8"/>
  <c r="AE25" i="8"/>
  <c r="X25" i="8"/>
  <c r="Y28" i="8"/>
  <c r="AB25" i="8"/>
  <c r="AC28" i="8"/>
  <c r="AA28" i="8"/>
  <c r="AB28" i="8"/>
  <c r="Z25" i="8"/>
  <c r="AC25" i="8"/>
  <c r="Y25" i="8"/>
  <c r="B14" i="8"/>
  <c r="E16" i="8"/>
  <c r="C14" i="8"/>
  <c r="AE28" i="8"/>
  <c r="Z28" i="8"/>
  <c r="AD25" i="8"/>
  <c r="W25" i="8"/>
  <c r="U28" i="8"/>
  <c r="AD28" i="8"/>
  <c r="AA25" i="8"/>
  <c r="V25" i="8"/>
  <c r="AO14" i="13"/>
  <c r="AL14" i="13"/>
  <c r="AK14" i="13" l="1"/>
  <c r="AN14" i="13"/>
  <c r="AM14" i="13" l="1"/>
  <c r="AJ14" i="13"/>
  <c r="AF29" i="5"/>
  <c r="AG29" i="5" l="1"/>
  <c r="U29" i="5" s="1"/>
  <c r="AN29" i="5" s="1"/>
  <c r="S29" i="5"/>
  <c r="X28" i="8" l="1"/>
  <c r="N29" i="8" l="1"/>
  <c r="Q29" i="8" s="1"/>
  <c r="E31" i="8" s="1"/>
  <c r="U22" i="8"/>
  <c r="AD31" i="8" l="1"/>
  <c r="AA31" i="8"/>
  <c r="AC31" i="8"/>
  <c r="U31" i="8"/>
  <c r="AE31" i="8"/>
  <c r="AB31" i="8"/>
  <c r="Z31" i="8"/>
  <c r="AD28" i="6" l="1"/>
  <c r="AD22" i="6"/>
  <c r="AD20" i="6"/>
  <c r="AD25" i="6"/>
  <c r="AD26" i="6"/>
  <c r="AD27" i="6"/>
  <c r="V31" i="8" l="1"/>
  <c r="X31" i="8"/>
  <c r="W28" i="8"/>
  <c r="AD30" i="6" l="1"/>
  <c r="AD31" i="6"/>
  <c r="AD15" i="6" l="1"/>
  <c r="S15" i="6" s="1"/>
  <c r="U25" i="8" l="1"/>
  <c r="V28" i="8"/>
  <c r="W31" i="8" l="1"/>
  <c r="Y31" i="8"/>
  <c r="AF24" i="5"/>
  <c r="AF30" i="5"/>
  <c r="AF17" i="5"/>
  <c r="AF31" i="5"/>
  <c r="AF14" i="5"/>
  <c r="AF16" i="5"/>
  <c r="AF20" i="5"/>
  <c r="AF26" i="5"/>
  <c r="AF22" i="5"/>
  <c r="AF28" i="5"/>
  <c r="AF21" i="5"/>
  <c r="AF25" i="5"/>
  <c r="AF27" i="5"/>
  <c r="AF18" i="5"/>
  <c r="AF19" i="5"/>
  <c r="AF23" i="5"/>
  <c r="AG23" i="5" l="1"/>
  <c r="U23" i="5" s="1"/>
  <c r="AN23" i="5" s="1"/>
  <c r="AG19" i="5"/>
  <c r="R18" i="5"/>
  <c r="S18" i="5"/>
  <c r="G18" i="6" s="1"/>
  <c r="AG18" i="5"/>
  <c r="U18" i="5" s="1"/>
  <c r="R27" i="5"/>
  <c r="AG27" i="5"/>
  <c r="U27" i="5" s="1"/>
  <c r="S27" i="5"/>
  <c r="G27" i="6" s="1"/>
  <c r="S25" i="5"/>
  <c r="G25" i="6" s="1"/>
  <c r="AG25" i="5"/>
  <c r="U25" i="5" s="1"/>
  <c r="R25" i="5"/>
  <c r="S21" i="5"/>
  <c r="AG21" i="5"/>
  <c r="R28" i="5"/>
  <c r="AG28" i="5"/>
  <c r="U28" i="5" s="1"/>
  <c r="S28" i="5"/>
  <c r="G28" i="6" s="1"/>
  <c r="S22" i="5"/>
  <c r="G22" i="6" s="1"/>
  <c r="AG22" i="5"/>
  <c r="U22" i="5" s="1"/>
  <c r="R22" i="5"/>
  <c r="S26" i="5"/>
  <c r="G26" i="6" s="1"/>
  <c r="AG26" i="5"/>
  <c r="U26" i="5" s="1"/>
  <c r="R26" i="5"/>
  <c r="S20" i="5"/>
  <c r="G20" i="6" s="1"/>
  <c r="R20" i="5"/>
  <c r="AG20" i="5"/>
  <c r="U20" i="5" s="1"/>
  <c r="AG16" i="5"/>
  <c r="S14" i="5"/>
  <c r="G14" i="6" s="1"/>
  <c r="R14" i="5"/>
  <c r="AG14" i="5"/>
  <c r="S31" i="5"/>
  <c r="G31" i="6" s="1"/>
  <c r="R31" i="5"/>
  <c r="AG31" i="5"/>
  <c r="U31" i="5" s="1"/>
  <c r="S17" i="5"/>
  <c r="AG17" i="5"/>
  <c r="R30" i="5"/>
  <c r="S30" i="5"/>
  <c r="G30" i="6" s="1"/>
  <c r="AG30" i="5"/>
  <c r="U30" i="5" s="1"/>
  <c r="AG24" i="5"/>
  <c r="S24" i="5"/>
  <c r="E14" i="12" l="1"/>
  <c r="F14" i="6"/>
  <c r="AC14" i="5"/>
  <c r="E20" i="12"/>
  <c r="F20" i="6"/>
  <c r="E30" i="12"/>
  <c r="F30" i="6"/>
  <c r="F31" i="6"/>
  <c r="E31" i="12"/>
  <c r="E22" i="12"/>
  <c r="F22" i="6"/>
  <c r="W28" i="5"/>
  <c r="X28" i="5" s="1"/>
  <c r="AN28" i="5"/>
  <c r="E25" i="12"/>
  <c r="F25" i="6"/>
  <c r="AN27" i="5"/>
  <c r="W27" i="5"/>
  <c r="X27" i="5" s="1"/>
  <c r="E18" i="12"/>
  <c r="F18" i="6"/>
  <c r="E26" i="12"/>
  <c r="F26" i="6"/>
  <c r="AN22" i="5"/>
  <c r="W22" i="5"/>
  <c r="X22" i="5" s="1"/>
  <c r="E28" i="12"/>
  <c r="F28" i="6"/>
  <c r="AC28" i="5"/>
  <c r="AN25" i="5"/>
  <c r="W25" i="5"/>
  <c r="X25" i="5" s="1"/>
  <c r="AC25" i="5" s="1"/>
  <c r="F27" i="6"/>
  <c r="E27" i="12"/>
  <c r="AC27" i="5"/>
  <c r="AN31" i="5"/>
  <c r="W31" i="5"/>
  <c r="X31" i="5" s="1"/>
  <c r="W30" i="5"/>
  <c r="X30" i="5" s="1"/>
  <c r="AN30" i="5"/>
  <c r="W20" i="5"/>
  <c r="X20" i="5" s="1"/>
  <c r="AC20" i="5" s="1"/>
  <c r="AN20" i="5"/>
  <c r="W26" i="5"/>
  <c r="X26" i="5" s="1"/>
  <c r="AC26" i="5" s="1"/>
  <c r="AN26" i="5"/>
  <c r="W18" i="5"/>
  <c r="X18" i="5" s="1"/>
  <c r="AC18" i="5" s="1"/>
  <c r="AN18" i="5"/>
  <c r="AC30" i="5" l="1"/>
  <c r="I22" i="12"/>
  <c r="Z22" i="5"/>
  <c r="X21" i="5"/>
  <c r="L22" i="5"/>
  <c r="AM22" i="5"/>
  <c r="I22" i="5"/>
  <c r="AB22" i="6"/>
  <c r="AC22" i="6"/>
  <c r="I18" i="12"/>
  <c r="L18" i="5"/>
  <c r="F15" i="7"/>
  <c r="A15" i="10" s="1"/>
  <c r="AM18" i="5"/>
  <c r="X17" i="5"/>
  <c r="Z18" i="5"/>
  <c r="E19" i="8"/>
  <c r="I18" i="5"/>
  <c r="X16" i="5"/>
  <c r="X15" i="5"/>
  <c r="I31" i="12"/>
  <c r="L31" i="5"/>
  <c r="AM31" i="5"/>
  <c r="AB31" i="6"/>
  <c r="AC31" i="6"/>
  <c r="Z31" i="5"/>
  <c r="AC28" i="6"/>
  <c r="AB28" i="6"/>
  <c r="Z28" i="5"/>
  <c r="AM28" i="5"/>
  <c r="I28" i="12"/>
  <c r="L28" i="5"/>
  <c r="C28" i="6" s="1"/>
  <c r="AC31" i="5"/>
  <c r="AC26" i="6"/>
  <c r="I26" i="12"/>
  <c r="Z26" i="5"/>
  <c r="AB26" i="6"/>
  <c r="AM26" i="5"/>
  <c r="L26" i="5"/>
  <c r="I27" i="12"/>
  <c r="AB27" i="6"/>
  <c r="L27" i="5"/>
  <c r="AC27" i="6"/>
  <c r="Z27" i="5"/>
  <c r="AM27" i="5"/>
  <c r="I30" i="5"/>
  <c r="I31" i="5" s="1"/>
  <c r="Z30" i="5"/>
  <c r="L30" i="5"/>
  <c r="AB30" i="6"/>
  <c r="AC30" i="6"/>
  <c r="X29" i="5"/>
  <c r="AM30" i="5"/>
  <c r="I30" i="12"/>
  <c r="X19" i="5"/>
  <c r="AM20" i="5"/>
  <c r="AC20" i="6"/>
  <c r="I20" i="12"/>
  <c r="Z20" i="5"/>
  <c r="AB20" i="6"/>
  <c r="I20" i="5"/>
  <c r="L20" i="5"/>
  <c r="I25" i="5"/>
  <c r="I26" i="5" s="1"/>
  <c r="I27" i="5" s="1"/>
  <c r="I28" i="5" s="1"/>
  <c r="AM25" i="5"/>
  <c r="Z25" i="5"/>
  <c r="AC25" i="6"/>
  <c r="X24" i="5"/>
  <c r="L25" i="5"/>
  <c r="X23" i="5"/>
  <c r="AB25" i="6"/>
  <c r="I25" i="12"/>
  <c r="AC22" i="5"/>
  <c r="AC15" i="6" l="1"/>
  <c r="R15" i="6" s="1"/>
  <c r="AB27" i="5"/>
  <c r="AA27" i="5"/>
  <c r="M27" i="12"/>
  <c r="C27" i="12"/>
  <c r="AO27" i="12"/>
  <c r="O27" i="12"/>
  <c r="N27" i="12" s="1"/>
  <c r="AB26" i="5"/>
  <c r="AA26" i="5"/>
  <c r="D25" i="8"/>
  <c r="T25" i="8"/>
  <c r="O25" i="5"/>
  <c r="C25" i="6"/>
  <c r="I29" i="12"/>
  <c r="AM29" i="5"/>
  <c r="Z29" i="5"/>
  <c r="R29" i="8"/>
  <c r="L29" i="5"/>
  <c r="AC29" i="5"/>
  <c r="C26" i="6"/>
  <c r="O26" i="5"/>
  <c r="O26" i="12"/>
  <c r="N26" i="12" s="1"/>
  <c r="AO26" i="12"/>
  <c r="Y26" i="12" s="1"/>
  <c r="M26" i="12"/>
  <c r="C26" i="12"/>
  <c r="C28" i="12"/>
  <c r="M28" i="12"/>
  <c r="AO28" i="12"/>
  <c r="O28" i="12"/>
  <c r="D19" i="8"/>
  <c r="AD19" i="8"/>
  <c r="AB19" i="8"/>
  <c r="W19" i="8"/>
  <c r="AE19" i="8"/>
  <c r="Y19" i="8"/>
  <c r="X19" i="8"/>
  <c r="AC19" i="8"/>
  <c r="AA19" i="8"/>
  <c r="V19" i="8"/>
  <c r="U19" i="8"/>
  <c r="T19" i="8"/>
  <c r="R23" i="8"/>
  <c r="I21" i="12"/>
  <c r="AM21" i="5"/>
  <c r="L21" i="5"/>
  <c r="Z21" i="5"/>
  <c r="AC21" i="5"/>
  <c r="L23" i="5"/>
  <c r="I23" i="12"/>
  <c r="R26" i="8"/>
  <c r="Z23" i="5"/>
  <c r="AC23" i="5"/>
  <c r="AM23" i="5"/>
  <c r="AB25" i="5"/>
  <c r="AA25" i="5"/>
  <c r="O30" i="5"/>
  <c r="C30" i="6"/>
  <c r="C22" i="6"/>
  <c r="O22" i="5"/>
  <c r="D22" i="8"/>
  <c r="T22" i="8"/>
  <c r="AB15" i="6"/>
  <c r="AB30" i="5"/>
  <c r="AA30" i="5"/>
  <c r="O28" i="5"/>
  <c r="AB20" i="5"/>
  <c r="AB19" i="5" s="1"/>
  <c r="AA20" i="5"/>
  <c r="AA19" i="5" s="1"/>
  <c r="B20" i="8" s="1"/>
  <c r="I19" i="12"/>
  <c r="AM19" i="5"/>
  <c r="R20" i="8"/>
  <c r="L19" i="5"/>
  <c r="Z19" i="5"/>
  <c r="AC19" i="5"/>
  <c r="D31" i="8"/>
  <c r="T31" i="8"/>
  <c r="O27" i="5"/>
  <c r="C27" i="6"/>
  <c r="AB31" i="5"/>
  <c r="AA31" i="5"/>
  <c r="C31" i="6"/>
  <c r="O31" i="5"/>
  <c r="Z19" i="8"/>
  <c r="W28" i="10"/>
  <c r="O28" i="10"/>
  <c r="AE28" i="10"/>
  <c r="I28" i="10"/>
  <c r="K28" i="10"/>
  <c r="S28" i="10"/>
  <c r="AA28" i="10"/>
  <c r="AM15" i="5"/>
  <c r="AC28" i="10"/>
  <c r="M28" i="10"/>
  <c r="Y28" i="10"/>
  <c r="Q28" i="10"/>
  <c r="Z15" i="5"/>
  <c r="U28" i="10"/>
  <c r="AB18" i="5"/>
  <c r="AA18" i="5"/>
  <c r="C18" i="6"/>
  <c r="O18" i="5"/>
  <c r="AB22" i="5"/>
  <c r="AB21" i="5" s="1"/>
  <c r="AA22" i="5"/>
  <c r="AA21" i="5" s="1"/>
  <c r="B23" i="8" s="1"/>
  <c r="O25" i="12"/>
  <c r="AO25" i="12"/>
  <c r="C25" i="12"/>
  <c r="M25" i="12"/>
  <c r="AM24" i="5"/>
  <c r="L24" i="5"/>
  <c r="Z24" i="5"/>
  <c r="I24" i="12"/>
  <c r="AC24" i="5"/>
  <c r="D28" i="8"/>
  <c r="D26" i="8" s="1"/>
  <c r="T28" i="8"/>
  <c r="T26" i="8" s="1"/>
  <c r="G26" i="8" s="1"/>
  <c r="I27" i="8" s="1"/>
  <c r="C20" i="6"/>
  <c r="O20" i="5"/>
  <c r="AO20" i="12"/>
  <c r="C20" i="12"/>
  <c r="M20" i="12"/>
  <c r="M19" i="12" s="1"/>
  <c r="O20" i="12"/>
  <c r="M30" i="12"/>
  <c r="M29" i="12" s="1"/>
  <c r="O30" i="12"/>
  <c r="C30" i="12"/>
  <c r="AO30" i="12"/>
  <c r="AB28" i="5"/>
  <c r="AA28" i="5"/>
  <c r="O31" i="12"/>
  <c r="M31" i="12"/>
  <c r="AO31" i="12"/>
  <c r="Y31" i="12" s="1"/>
  <c r="C31" i="12"/>
  <c r="Z16" i="5"/>
  <c r="O14" i="11"/>
  <c r="I16" i="12"/>
  <c r="AC16" i="5"/>
  <c r="AM16" i="5"/>
  <c r="L16" i="5"/>
  <c r="R14" i="8"/>
  <c r="R17" i="8"/>
  <c r="Z17" i="5"/>
  <c r="AM17" i="5"/>
  <c r="L17" i="5"/>
  <c r="I17" i="12"/>
  <c r="AC17" i="5"/>
  <c r="O18" i="12"/>
  <c r="M18" i="12"/>
  <c r="C18" i="12"/>
  <c r="AO18" i="12"/>
  <c r="AO22" i="12"/>
  <c r="M22" i="12"/>
  <c r="M21" i="12" s="1"/>
  <c r="O22" i="12"/>
  <c r="C22" i="12"/>
  <c r="T20" i="8" l="1"/>
  <c r="N28" i="12"/>
  <c r="N30" i="12"/>
  <c r="O29" i="12"/>
  <c r="N29" i="12" s="1"/>
  <c r="AB17" i="5"/>
  <c r="C17" i="8" s="1"/>
  <c r="AB16" i="5"/>
  <c r="AB15" i="5"/>
  <c r="AE27" i="10"/>
  <c r="AE26" i="10"/>
  <c r="AE25" i="10" s="1"/>
  <c r="D31" i="12"/>
  <c r="E31" i="6"/>
  <c r="D28" i="12"/>
  <c r="E28" i="6"/>
  <c r="O21" i="5"/>
  <c r="C21" i="6"/>
  <c r="W17" i="8"/>
  <c r="D26" i="12"/>
  <c r="E26" i="6"/>
  <c r="M16" i="12"/>
  <c r="M17" i="12"/>
  <c r="W31" i="12"/>
  <c r="X31" i="12"/>
  <c r="AO19" i="12"/>
  <c r="Y20" i="12"/>
  <c r="O24" i="5"/>
  <c r="C24" i="6"/>
  <c r="AO23" i="12"/>
  <c r="AO24" i="12"/>
  <c r="Y25" i="12"/>
  <c r="D18" i="12"/>
  <c r="E18" i="6"/>
  <c r="U26" i="10"/>
  <c r="U25" i="10" s="1"/>
  <c r="U27" i="10"/>
  <c r="M26" i="10"/>
  <c r="M25" i="10" s="1"/>
  <c r="M27" i="10"/>
  <c r="S27" i="10"/>
  <c r="S26" i="10"/>
  <c r="S25" i="10" s="1"/>
  <c r="O27" i="10"/>
  <c r="O26" i="10"/>
  <c r="O25" i="10" s="1"/>
  <c r="D27" i="12"/>
  <c r="E27" i="6"/>
  <c r="C19" i="12"/>
  <c r="J19" i="12"/>
  <c r="L19" i="12"/>
  <c r="AA29" i="5"/>
  <c r="B29" i="8" s="1"/>
  <c r="D20" i="8"/>
  <c r="E30" i="6"/>
  <c r="D30" i="12"/>
  <c r="O23" i="5"/>
  <c r="C23" i="6"/>
  <c r="U17" i="8"/>
  <c r="X17" i="8"/>
  <c r="AB17" i="8"/>
  <c r="Y28" i="12"/>
  <c r="E25" i="6"/>
  <c r="D25" i="12"/>
  <c r="AA26" i="10"/>
  <c r="AA25" i="10" s="1"/>
  <c r="AA27" i="10"/>
  <c r="J23" i="12"/>
  <c r="C23" i="12"/>
  <c r="L23" i="12"/>
  <c r="T17" i="8"/>
  <c r="G17" i="8" s="1"/>
  <c r="I18" i="8" s="1"/>
  <c r="F15" i="8"/>
  <c r="G14" i="8"/>
  <c r="I15" i="8" s="1"/>
  <c r="G15" i="8"/>
  <c r="F14" i="8"/>
  <c r="Q33" i="8"/>
  <c r="H33" i="8" s="1"/>
  <c r="J16" i="12"/>
  <c r="C16" i="12"/>
  <c r="L16" i="12"/>
  <c r="O17" i="12"/>
  <c r="N17" i="12" s="1"/>
  <c r="O16" i="12"/>
  <c r="N16" i="12" s="1"/>
  <c r="N18" i="12"/>
  <c r="O16" i="5"/>
  <c r="C16" i="6"/>
  <c r="W14" i="11"/>
  <c r="L14" i="13"/>
  <c r="C14" i="11"/>
  <c r="O15" i="11"/>
  <c r="Y30" i="12"/>
  <c r="AO29" i="12"/>
  <c r="Y29" i="12" s="1"/>
  <c r="N20" i="12"/>
  <c r="O19" i="12"/>
  <c r="N19" i="12" s="1"/>
  <c r="E20" i="6"/>
  <c r="D20" i="12"/>
  <c r="O24" i="12"/>
  <c r="O23" i="12"/>
  <c r="N25" i="12"/>
  <c r="AC26" i="10"/>
  <c r="AC25" i="10" s="1"/>
  <c r="AC27" i="10"/>
  <c r="K27" i="10"/>
  <c r="K26" i="10"/>
  <c r="K25" i="10" s="1"/>
  <c r="W26" i="10"/>
  <c r="W25" i="10" s="1"/>
  <c r="W27" i="10"/>
  <c r="T29" i="8"/>
  <c r="C19" i="6"/>
  <c r="O19" i="5"/>
  <c r="AB29" i="5"/>
  <c r="E22" i="6"/>
  <c r="D22" i="12"/>
  <c r="AA23" i="5"/>
  <c r="B26" i="8" s="1"/>
  <c r="AA24" i="5"/>
  <c r="C21" i="12"/>
  <c r="J21" i="12"/>
  <c r="L21" i="12"/>
  <c r="K21" i="12" s="1"/>
  <c r="V17" i="8"/>
  <c r="Y17" i="8"/>
  <c r="AD17" i="8"/>
  <c r="X26" i="12"/>
  <c r="W26" i="12"/>
  <c r="AC11" i="5"/>
  <c r="T23" i="8"/>
  <c r="N22" i="12"/>
  <c r="O21" i="12"/>
  <c r="N21" i="12" s="1"/>
  <c r="J17" i="12"/>
  <c r="C17" i="12"/>
  <c r="L17" i="12"/>
  <c r="F18" i="8"/>
  <c r="Z16" i="8"/>
  <c r="Z14" i="8" s="1"/>
  <c r="G18" i="8"/>
  <c r="AC16" i="8"/>
  <c r="AC14" i="8" s="1"/>
  <c r="F17" i="8"/>
  <c r="AA16" i="8"/>
  <c r="AA14" i="8" s="1"/>
  <c r="AE16" i="8"/>
  <c r="AE14" i="8" s="1"/>
  <c r="D16" i="8"/>
  <c r="U16" i="8"/>
  <c r="U14" i="8" s="1"/>
  <c r="Y16" i="8"/>
  <c r="Y14" i="8" s="1"/>
  <c r="V16" i="8"/>
  <c r="V14" i="8" s="1"/>
  <c r="W16" i="8"/>
  <c r="W14" i="8" s="1"/>
  <c r="T16" i="8"/>
  <c r="AB16" i="8"/>
  <c r="AB14" i="8" s="1"/>
  <c r="X16" i="8"/>
  <c r="X14" i="8" s="1"/>
  <c r="AD16" i="8"/>
  <c r="AD14" i="8" s="1"/>
  <c r="Y27" i="10"/>
  <c r="Y26" i="10"/>
  <c r="Y25" i="10" s="1"/>
  <c r="AC17" i="8"/>
  <c r="Z29" i="8"/>
  <c r="G29" i="8" s="1"/>
  <c r="I30" i="8" s="1"/>
  <c r="AD29" i="8"/>
  <c r="AA29" i="8"/>
  <c r="AC29" i="8"/>
  <c r="G30" i="8"/>
  <c r="F30" i="8"/>
  <c r="AE29" i="8"/>
  <c r="AB29" i="8"/>
  <c r="F29" i="8"/>
  <c r="X29" i="8"/>
  <c r="V29" i="8"/>
  <c r="W29" i="8"/>
  <c r="Y29" i="8"/>
  <c r="U29" i="8"/>
  <c r="C29" i="8"/>
  <c r="O17" i="5"/>
  <c r="C17" i="6"/>
  <c r="AO21" i="12"/>
  <c r="Y21" i="12" s="1"/>
  <c r="Y22" i="12"/>
  <c r="AO17" i="12"/>
  <c r="Y17" i="12" s="1"/>
  <c r="Y18" i="12"/>
  <c r="AO16" i="12"/>
  <c r="Y16" i="12" s="1"/>
  <c r="N31" i="12"/>
  <c r="C24" i="12"/>
  <c r="J24" i="12"/>
  <c r="M24" i="12"/>
  <c r="M23" i="12"/>
  <c r="AA16" i="5"/>
  <c r="AA17" i="5"/>
  <c r="B17" i="8" s="1"/>
  <c r="AA15" i="5"/>
  <c r="Q27" i="10"/>
  <c r="Q26" i="10"/>
  <c r="Q25" i="10" s="1"/>
  <c r="I27" i="10"/>
  <c r="AE9" i="10" s="1"/>
  <c r="I26" i="10"/>
  <c r="I25" i="10" s="1"/>
  <c r="Y9" i="10" s="1"/>
  <c r="Z17" i="8"/>
  <c r="D29" i="8"/>
  <c r="C20" i="8"/>
  <c r="F21" i="8"/>
  <c r="AE20" i="8"/>
  <c r="AA20" i="8"/>
  <c r="F20" i="8"/>
  <c r="U20" i="8"/>
  <c r="G20" i="8" s="1"/>
  <c r="I21" i="8" s="1"/>
  <c r="AC20" i="8"/>
  <c r="W20" i="8"/>
  <c r="V20" i="8"/>
  <c r="Y20" i="8"/>
  <c r="X20" i="8"/>
  <c r="Z20" i="8"/>
  <c r="G21" i="8"/>
  <c r="AB20" i="8"/>
  <c r="AD20" i="8"/>
  <c r="F17" i="7"/>
  <c r="F18" i="7"/>
  <c r="F16" i="7"/>
  <c r="Q15" i="6"/>
  <c r="F14" i="7"/>
  <c r="F19" i="7"/>
  <c r="AB23" i="5"/>
  <c r="C26" i="8" s="1"/>
  <c r="AB24" i="5"/>
  <c r="V26" i="8"/>
  <c r="G27" i="8"/>
  <c r="U26" i="8"/>
  <c r="AC26" i="8"/>
  <c r="Y26" i="8"/>
  <c r="F27" i="8"/>
  <c r="F26" i="8"/>
  <c r="W26" i="8"/>
  <c r="X26" i="8"/>
  <c r="AB26" i="8"/>
  <c r="AB23" i="8" s="1"/>
  <c r="AA26" i="8"/>
  <c r="Z26" i="8"/>
  <c r="AE26" i="8"/>
  <c r="AD26" i="8"/>
  <c r="AA23" i="8"/>
  <c r="AC23" i="8"/>
  <c r="C23" i="8"/>
  <c r="AE23" i="8"/>
  <c r="G24" i="8"/>
  <c r="F23" i="8"/>
  <c r="V23" i="8"/>
  <c r="U23" i="8"/>
  <c r="Z23" i="8"/>
  <c r="F24" i="8"/>
  <c r="W23" i="8"/>
  <c r="G23" i="8" s="1"/>
  <c r="I24" i="8" s="1"/>
  <c r="Y23" i="8"/>
  <c r="AD23" i="8"/>
  <c r="X23" i="8"/>
  <c r="AA17" i="8"/>
  <c r="AE17" i="8"/>
  <c r="D17" i="8"/>
  <c r="O29" i="5"/>
  <c r="C29" i="6"/>
  <c r="C29" i="12"/>
  <c r="L29" i="12"/>
  <c r="J29" i="12"/>
  <c r="D23" i="8"/>
  <c r="Y27" i="12"/>
  <c r="K29" i="12" l="1"/>
  <c r="K17" i="12"/>
  <c r="K23" i="12"/>
  <c r="X16" i="12"/>
  <c r="W16" i="12"/>
  <c r="AB14" i="11"/>
  <c r="AG14" i="13"/>
  <c r="U14" i="13" s="1"/>
  <c r="AD4" i="13" s="1"/>
  <c r="AE12" i="13"/>
  <c r="AD12" i="13"/>
  <c r="AF12" i="13"/>
  <c r="AC12" i="13"/>
  <c r="AH12" i="13"/>
  <c r="AG12" i="13"/>
  <c r="AE14" i="13"/>
  <c r="M14" i="13" s="1"/>
  <c r="M19" i="13" s="1"/>
  <c r="AH14" i="13"/>
  <c r="O14" i="13" s="1"/>
  <c r="X18" i="12"/>
  <c r="W18" i="12"/>
  <c r="D14" i="8"/>
  <c r="D40" i="8" a="1"/>
  <c r="D40" i="8" s="1"/>
  <c r="H20" i="8"/>
  <c r="E19" i="6"/>
  <c r="D19" i="12"/>
  <c r="W29" i="12"/>
  <c r="X29" i="12"/>
  <c r="O16" i="11"/>
  <c r="AA7" i="11"/>
  <c r="E23" i="6"/>
  <c r="H26" i="8"/>
  <c r="D23" i="12"/>
  <c r="W25" i="12"/>
  <c r="X25" i="12"/>
  <c r="D24" i="12"/>
  <c r="E24" i="6"/>
  <c r="T31" i="12"/>
  <c r="V31" i="12"/>
  <c r="U31" i="12"/>
  <c r="A16" i="10"/>
  <c r="A16" i="9"/>
  <c r="X21" i="12"/>
  <c r="W21" i="12"/>
  <c r="T14" i="8"/>
  <c r="T41" i="8" a="1"/>
  <c r="T41" i="8" s="1"/>
  <c r="T40" i="8" a="1"/>
  <c r="T40" i="8" s="1"/>
  <c r="V26" i="12"/>
  <c r="U26" i="12"/>
  <c r="T26" i="12"/>
  <c r="W28" i="12"/>
  <c r="X28" i="12"/>
  <c r="E21" i="6"/>
  <c r="H23" i="8"/>
  <c r="D21" i="12"/>
  <c r="A18" i="10"/>
  <c r="A18" i="9"/>
  <c r="A17" i="9"/>
  <c r="A17" i="10"/>
  <c r="AA14" i="11"/>
  <c r="AF14" i="13"/>
  <c r="T14" i="13" s="1"/>
  <c r="AD3" i="13" s="1"/>
  <c r="AC14" i="13"/>
  <c r="R14" i="13" s="1"/>
  <c r="M17" i="13" s="1"/>
  <c r="W17" i="12"/>
  <c r="X17" i="12"/>
  <c r="D17" i="12"/>
  <c r="H17" i="8"/>
  <c r="E17" i="6"/>
  <c r="X30" i="12"/>
  <c r="W30" i="12"/>
  <c r="H14" i="8"/>
  <c r="E16" i="6"/>
  <c r="D16" i="12"/>
  <c r="K16" i="12"/>
  <c r="D42" i="8"/>
  <c r="K19" i="12"/>
  <c r="Y24" i="12"/>
  <c r="W20" i="12"/>
  <c r="X20" i="12"/>
  <c r="AD14" i="13"/>
  <c r="S14" i="13" s="1"/>
  <c r="M18" i="13" s="1"/>
  <c r="L24" i="12"/>
  <c r="K24" i="12" s="1"/>
  <c r="N24" i="12"/>
  <c r="X27" i="12"/>
  <c r="W27" i="12"/>
  <c r="A19" i="9"/>
  <c r="A19" i="10"/>
  <c r="D29" i="12"/>
  <c r="H29" i="8"/>
  <c r="E29" i="6"/>
  <c r="W22" i="12"/>
  <c r="X22" i="12"/>
  <c r="D41" i="8" a="1"/>
  <c r="D41" i="8" s="1"/>
  <c r="D36" i="8" s="1"/>
  <c r="N23" i="12"/>
  <c r="L19" i="13"/>
  <c r="D14" i="13"/>
  <c r="V14" i="13"/>
  <c r="T42" i="8"/>
  <c r="Y23" i="12"/>
  <c r="Y19" i="12"/>
  <c r="T36" i="8" l="1"/>
  <c r="U41" i="8" a="1"/>
  <c r="U41" i="8" s="1"/>
  <c r="U25" i="12"/>
  <c r="V25" i="12"/>
  <c r="T25" i="12"/>
  <c r="U29" i="12"/>
  <c r="T29" i="12"/>
  <c r="V29" i="12"/>
  <c r="D39" i="8"/>
  <c r="D34" i="8" s="1"/>
  <c r="D35" i="8"/>
  <c r="N14" i="13"/>
  <c r="P14" i="13"/>
  <c r="O19" i="13"/>
  <c r="O20" i="13"/>
  <c r="M15" i="13"/>
  <c r="M16" i="13"/>
  <c r="N14" i="11"/>
  <c r="N15" i="11" s="1"/>
  <c r="AB15" i="11"/>
  <c r="AB7" i="11" s="1"/>
  <c r="Z3" i="11" s="1"/>
  <c r="AA3" i="11" s="1"/>
  <c r="I16" i="14"/>
  <c r="J16" i="14" s="1"/>
  <c r="K16" i="14" s="1"/>
  <c r="L16" i="14" s="1"/>
  <c r="I10" i="14"/>
  <c r="J10" i="14" s="1"/>
  <c r="K10" i="14" s="1"/>
  <c r="L10" i="14" s="1"/>
  <c r="I29" i="14"/>
  <c r="J29" i="14" s="1"/>
  <c r="K29" i="14" s="1"/>
  <c r="L29" i="14" s="1"/>
  <c r="I15" i="14"/>
  <c r="J15" i="14" s="1"/>
  <c r="K15" i="14" s="1"/>
  <c r="L15" i="14" s="1"/>
  <c r="I20" i="14"/>
  <c r="J20" i="14" s="1"/>
  <c r="K20" i="14" s="1"/>
  <c r="L20" i="14" s="1"/>
  <c r="I24" i="14"/>
  <c r="J24" i="14" s="1"/>
  <c r="K24" i="14" s="1"/>
  <c r="L24" i="14" s="1"/>
  <c r="I38" i="14"/>
  <c r="J38" i="14" s="1"/>
  <c r="K38" i="14" s="1"/>
  <c r="L38" i="14" s="1"/>
  <c r="I35" i="14"/>
  <c r="J35" i="14" s="1"/>
  <c r="K35" i="14" s="1"/>
  <c r="L35" i="14" s="1"/>
  <c r="I13" i="14"/>
  <c r="J13" i="14" s="1"/>
  <c r="K13" i="14" s="1"/>
  <c r="L13" i="14" s="1"/>
  <c r="I27" i="14"/>
  <c r="J27" i="14" s="1"/>
  <c r="K27" i="14" s="1"/>
  <c r="L27" i="14" s="1"/>
  <c r="I7" i="14"/>
  <c r="J7" i="14" s="1"/>
  <c r="K7" i="14" s="1"/>
  <c r="L7" i="14" s="1"/>
  <c r="I8" i="14"/>
  <c r="J8" i="14" s="1"/>
  <c r="K8" i="14" s="1"/>
  <c r="L8" i="14" s="1"/>
  <c r="I21" i="14"/>
  <c r="J21" i="14" s="1"/>
  <c r="K21" i="14" s="1"/>
  <c r="L21" i="14" s="1"/>
  <c r="I30" i="14"/>
  <c r="J30" i="14" s="1"/>
  <c r="K30" i="14" s="1"/>
  <c r="L30" i="14" s="1"/>
  <c r="I37" i="14"/>
  <c r="J37" i="14" s="1"/>
  <c r="K37" i="14" s="1"/>
  <c r="L37" i="14" s="1"/>
  <c r="I43" i="14"/>
  <c r="J43" i="14" s="1"/>
  <c r="K43" i="14" s="1"/>
  <c r="L43" i="14" s="1"/>
  <c r="I39" i="14"/>
  <c r="J39" i="14" s="1"/>
  <c r="K39" i="14" s="1"/>
  <c r="L39" i="14" s="1"/>
  <c r="I31" i="14"/>
  <c r="J31" i="14" s="1"/>
  <c r="K31" i="14" s="1"/>
  <c r="L31" i="14" s="1"/>
  <c r="I6" i="14"/>
  <c r="J6" i="14" s="1"/>
  <c r="I18" i="14"/>
  <c r="J18" i="14" s="1"/>
  <c r="K18" i="14" s="1"/>
  <c r="L18" i="14" s="1"/>
  <c r="I40" i="14"/>
  <c r="J40" i="14" s="1"/>
  <c r="K40" i="14" s="1"/>
  <c r="L40" i="14" s="1"/>
  <c r="I26" i="14"/>
  <c r="J26" i="14" s="1"/>
  <c r="K26" i="14" s="1"/>
  <c r="L26" i="14" s="1"/>
  <c r="I46" i="14"/>
  <c r="J46" i="14" s="1"/>
  <c r="K46" i="14" s="1"/>
  <c r="L46" i="14" s="1"/>
  <c r="I14" i="14"/>
  <c r="J14" i="14" s="1"/>
  <c r="K14" i="14" s="1"/>
  <c r="L14" i="14" s="1"/>
  <c r="I11" i="14"/>
  <c r="J11" i="14" s="1"/>
  <c r="K11" i="14" s="1"/>
  <c r="L11" i="14" s="1"/>
  <c r="I22" i="14"/>
  <c r="J22" i="14" s="1"/>
  <c r="K22" i="14" s="1"/>
  <c r="L22" i="14" s="1"/>
  <c r="I42" i="14"/>
  <c r="J42" i="14" s="1"/>
  <c r="K42" i="14" s="1"/>
  <c r="L42" i="14" s="1"/>
  <c r="I17" i="14"/>
  <c r="J17" i="14" s="1"/>
  <c r="K17" i="14" s="1"/>
  <c r="L17" i="14" s="1"/>
  <c r="I28" i="14"/>
  <c r="J28" i="14" s="1"/>
  <c r="K28" i="14" s="1"/>
  <c r="L28" i="14" s="1"/>
  <c r="I41" i="14"/>
  <c r="J41" i="14" s="1"/>
  <c r="K41" i="14" s="1"/>
  <c r="L41" i="14" s="1"/>
  <c r="I44" i="14"/>
  <c r="J44" i="14" s="1"/>
  <c r="K44" i="14" s="1"/>
  <c r="L44" i="14" s="1"/>
  <c r="I12" i="14"/>
  <c r="J12" i="14" s="1"/>
  <c r="K12" i="14" s="1"/>
  <c r="L12" i="14" s="1"/>
  <c r="I19" i="14"/>
  <c r="J19" i="14" s="1"/>
  <c r="K19" i="14" s="1"/>
  <c r="L19" i="14" s="1"/>
  <c r="I34" i="14"/>
  <c r="J34" i="14" s="1"/>
  <c r="K34" i="14" s="1"/>
  <c r="L34" i="14" s="1"/>
  <c r="I32" i="14"/>
  <c r="J32" i="14" s="1"/>
  <c r="K32" i="14" s="1"/>
  <c r="L32" i="14" s="1"/>
  <c r="I33" i="14"/>
  <c r="J33" i="14" s="1"/>
  <c r="K33" i="14" s="1"/>
  <c r="L33" i="14" s="1"/>
  <c r="I9" i="14"/>
  <c r="J9" i="14" s="1"/>
  <c r="K9" i="14" s="1"/>
  <c r="L9" i="14" s="1"/>
  <c r="I23" i="14"/>
  <c r="J23" i="14" s="1"/>
  <c r="K23" i="14" s="1"/>
  <c r="L23" i="14" s="1"/>
  <c r="I36" i="14"/>
  <c r="J36" i="14" s="1"/>
  <c r="K36" i="14" s="1"/>
  <c r="L36" i="14" s="1"/>
  <c r="I25" i="14"/>
  <c r="J25" i="14" s="1"/>
  <c r="K25" i="14" s="1"/>
  <c r="L25" i="14" s="1"/>
  <c r="I45" i="14"/>
  <c r="J45" i="14" s="1"/>
  <c r="K45" i="14" s="1"/>
  <c r="L45" i="14" s="1"/>
  <c r="T27" i="12"/>
  <c r="U27" i="12"/>
  <c r="V27" i="12"/>
  <c r="W19" i="12"/>
  <c r="X19" i="12"/>
  <c r="D38" i="8"/>
  <c r="D37" i="8"/>
  <c r="D33" i="8" s="1"/>
  <c r="W23" i="12"/>
  <c r="X23" i="12"/>
  <c r="L15" i="13"/>
  <c r="D33" i="14"/>
  <c r="U22" i="12"/>
  <c r="T22" i="12"/>
  <c r="V22" i="12"/>
  <c r="V20" i="12"/>
  <c r="T20" i="12"/>
  <c r="U20" i="12"/>
  <c r="T30" i="12"/>
  <c r="V30" i="12"/>
  <c r="U30" i="12"/>
  <c r="T37" i="8"/>
  <c r="T33" i="8" s="1"/>
  <c r="U42" i="8"/>
  <c r="T38" i="8"/>
  <c r="T39" i="8"/>
  <c r="T34" i="8" s="1"/>
  <c r="W24" i="12"/>
  <c r="X24" i="12"/>
  <c r="AA15" i="11"/>
  <c r="Z14" i="11"/>
  <c r="Z15" i="11" s="1"/>
  <c r="U21" i="12"/>
  <c r="T21" i="12"/>
  <c r="V21" i="12"/>
  <c r="T18" i="12"/>
  <c r="U18" i="12"/>
  <c r="V18" i="12"/>
  <c r="V16" i="12"/>
  <c r="T16" i="12"/>
  <c r="U16" i="12"/>
  <c r="V17" i="12"/>
  <c r="T17" i="12"/>
  <c r="U17" i="12"/>
  <c r="V28" i="12"/>
  <c r="U28" i="12"/>
  <c r="T28" i="12"/>
  <c r="U40" i="8" a="1"/>
  <c r="U40" i="8" s="1"/>
  <c r="T35" i="8"/>
  <c r="K6" i="14" l="1"/>
  <c r="L6" i="14" s="1"/>
  <c r="AD12" i="11"/>
  <c r="AD14" i="11"/>
  <c r="N16" i="11"/>
  <c r="L18" i="13"/>
  <c r="D32" i="14" s="1"/>
  <c r="U36" i="8"/>
  <c r="V41" i="8" a="1"/>
  <c r="V41" i="8" s="1"/>
  <c r="T23" i="12"/>
  <c r="U23" i="12"/>
  <c r="V23" i="12"/>
  <c r="T19" i="12"/>
  <c r="U19" i="12"/>
  <c r="V19" i="12"/>
  <c r="U38" i="8"/>
  <c r="U37" i="8"/>
  <c r="U33" i="8" s="1"/>
  <c r="V42" i="8"/>
  <c r="U39" i="8"/>
  <c r="U34" i="8" s="1"/>
  <c r="U35" i="8"/>
  <c r="V40" i="8" a="1"/>
  <c r="V40" i="8" s="1"/>
  <c r="V24" i="12"/>
  <c r="U24" i="12"/>
  <c r="T24" i="12"/>
  <c r="AD6" i="13"/>
  <c r="N19" i="13"/>
  <c r="AC18" i="13"/>
  <c r="AD18" i="13"/>
  <c r="P15" i="13"/>
  <c r="F34" i="14" s="1"/>
  <c r="O15" i="13"/>
  <c r="F33" i="14"/>
  <c r="AE3" i="13"/>
  <c r="O17" i="13" s="1"/>
  <c r="AC17" i="13"/>
  <c r="AD17" i="13"/>
  <c r="AE4" i="13" l="1"/>
  <c r="O18" i="13" s="1"/>
  <c r="E33" i="14"/>
  <c r="N15" i="13"/>
  <c r="E34" i="14"/>
  <c r="W42" i="8"/>
  <c r="V37" i="8"/>
  <c r="V33" i="8" s="1"/>
  <c r="V38" i="8"/>
  <c r="V39" i="8"/>
  <c r="V34" i="8" s="1"/>
  <c r="W40" i="8" a="1"/>
  <c r="W40" i="8" s="1"/>
  <c r="V35" i="8"/>
  <c r="V36" i="8"/>
  <c r="W41" i="8" a="1"/>
  <c r="W41" i="8" s="1"/>
  <c r="AE14" i="11"/>
  <c r="M14" i="11" s="1"/>
  <c r="AE12" i="11"/>
  <c r="M12" i="11" s="1"/>
  <c r="L12" i="11" s="1"/>
  <c r="AE6" i="13"/>
  <c r="AE2" i="13" s="1"/>
  <c r="AD2" i="13"/>
  <c r="F31" i="14"/>
  <c r="N17" i="13"/>
  <c r="E31" i="14" s="1"/>
  <c r="W36" i="8" l="1"/>
  <c r="X41" i="8" a="1"/>
  <c r="X41" i="8" s="1"/>
  <c r="M15" i="11"/>
  <c r="L14" i="11"/>
  <c r="L15" i="11" s="1"/>
  <c r="W35" i="8"/>
  <c r="X40" i="8" a="1"/>
  <c r="X40" i="8" s="1"/>
  <c r="W37" i="8"/>
  <c r="W33" i="8" s="1"/>
  <c r="X42" i="8"/>
  <c r="W38" i="8"/>
  <c r="W39" i="8"/>
  <c r="W34" i="8" s="1"/>
  <c r="F32" i="14"/>
  <c r="N18" i="13"/>
  <c r="E32" i="14" s="1"/>
  <c r="O16" i="13"/>
  <c r="X38" i="8" l="1"/>
  <c r="Y42" i="8"/>
  <c r="X37" i="8"/>
  <c r="X33" i="8" s="1"/>
  <c r="X39" i="8"/>
  <c r="X34" i="8" s="1"/>
  <c r="L16" i="13"/>
  <c r="D30" i="14" s="1"/>
  <c r="L16" i="11"/>
  <c r="L10" i="11"/>
  <c r="M10" i="13" s="1"/>
  <c r="M16" i="11"/>
  <c r="L17" i="13"/>
  <c r="D31" i="14" s="1"/>
  <c r="M10" i="11"/>
  <c r="N10" i="13" s="1"/>
  <c r="X36" i="8"/>
  <c r="Y41" i="8" a="1"/>
  <c r="Y41" i="8" s="1"/>
  <c r="Y40" i="8" a="1"/>
  <c r="Y40" i="8" s="1"/>
  <c r="X35" i="8"/>
  <c r="F30" i="14"/>
  <c r="N16" i="13"/>
  <c r="E30" i="14" s="1"/>
  <c r="G9" i="11" l="1"/>
  <c r="Z41" i="8" a="1"/>
  <c r="Z41" i="8" s="1"/>
  <c r="Y36" i="8"/>
  <c r="Y38" i="8"/>
  <c r="J10" i="13" s="1"/>
  <c r="G10" i="13" s="1"/>
  <c r="Z42" i="8"/>
  <c r="Y37" i="8"/>
  <c r="Y33" i="8" s="1"/>
  <c r="Y39" i="8"/>
  <c r="Y34" i="8" s="1"/>
  <c r="Z40" i="8" a="1"/>
  <c r="Z40" i="8" s="1"/>
  <c r="Y35" i="8"/>
  <c r="Z37" i="8" l="1"/>
  <c r="Z33" i="8" s="1"/>
  <c r="Z38" i="8"/>
  <c r="AA42" i="8"/>
  <c r="Z39" i="8"/>
  <c r="Z34" i="8" s="1"/>
  <c r="Z35" i="8"/>
  <c r="AA40" i="8" a="1"/>
  <c r="AA40" i="8" s="1"/>
  <c r="AA41" i="8" a="1"/>
  <c r="AA41" i="8" s="1"/>
  <c r="Z36" i="8"/>
  <c r="AB41" i="8" l="1" a="1"/>
  <c r="AB41" i="8" s="1"/>
  <c r="AA36" i="8"/>
  <c r="AB40" i="8" a="1"/>
  <c r="AB40" i="8" s="1"/>
  <c r="AA35" i="8"/>
  <c r="AB42" i="8"/>
  <c r="AA37" i="8"/>
  <c r="AA33" i="8" s="1"/>
  <c r="AA38" i="8"/>
  <c r="AA39" i="8"/>
  <c r="AA34" i="8" s="1"/>
  <c r="AC40" i="8" l="1" a="1"/>
  <c r="AC40" i="8" s="1"/>
  <c r="AB35" i="8"/>
  <c r="AB37" i="8"/>
  <c r="AB33" i="8" s="1"/>
  <c r="AB38" i="8"/>
  <c r="AC42" i="8"/>
  <c r="AB39" i="8"/>
  <c r="AB34" i="8" s="1"/>
  <c r="AC41" i="8" a="1"/>
  <c r="AC41" i="8" s="1"/>
  <c r="AB36" i="8"/>
  <c r="AC37" i="8" l="1"/>
  <c r="AC33" i="8" s="1"/>
  <c r="AD42" i="8"/>
  <c r="AC38" i="8"/>
  <c r="AC39" i="8"/>
  <c r="AC34" i="8" s="1"/>
  <c r="AC36" i="8"/>
  <c r="AD41" i="8" a="1"/>
  <c r="AD41" i="8" s="1"/>
  <c r="AC35" i="8"/>
  <c r="AD40" i="8" a="1"/>
  <c r="AD40" i="8" s="1"/>
  <c r="AD35" i="8" l="1"/>
  <c r="AE40" i="8" a="1"/>
  <c r="AE40" i="8" s="1"/>
  <c r="AD38" i="8"/>
  <c r="AD37" i="8"/>
  <c r="AD33" i="8" s="1"/>
  <c r="AE42" i="8"/>
  <c r="AD39" i="8"/>
  <c r="AD34" i="8" s="1"/>
  <c r="AE41" i="8" a="1"/>
  <c r="AE41" i="8" s="1"/>
  <c r="AE36" i="8" s="1"/>
  <c r="AD36" i="8"/>
  <c r="AE35" i="8" l="1"/>
  <c r="AF40" i="8"/>
  <c r="J10" i="8"/>
  <c r="B9" i="9"/>
  <c r="AE38" i="8"/>
  <c r="AF42" i="8"/>
  <c r="AE37" i="8"/>
  <c r="AE33" i="8" s="1"/>
  <c r="AE39" i="8"/>
  <c r="AF39" i="8" l="1"/>
  <c r="AF41" i="8" s="1"/>
  <c r="AE34" i="8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<sst xmlns="http://schemas.openxmlformats.org/spreadsheetml/2006/main" count="1162" uniqueCount="493">
  <si>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</si>
  <si>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</si>
  <si>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</si>
  <si>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</si>
  <si>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</si>
  <si>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</si>
  <si>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</si>
  <si>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</si>
  <si>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</si>
  <si>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</si>
  <si>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</si>
  <si>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</si>
  <si>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</si>
  <si>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</si>
  <si>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</si>
  <si>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</si>
  <si>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</si>
  <si>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</si>
  <si>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</si>
  <si>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</si>
  <si>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</si>
  <si>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</si>
  <si>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</si>
  <si>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</si>
  <si>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</si>
  <si>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</si>
  <si>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</si>
  <si>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</si>
  <si>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</si>
  <si>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</si>
  <si>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</si>
  <si>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</si>
  <si>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</si>
  <si>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</si>
  <si>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</si>
  <si>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</si>
  <si>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</si>
  <si>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</si>
  <si>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</si>
  <si>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</si>
  <si>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</si>
  <si>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</si>
  <si>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</si>
  <si>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</si>
  <si>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</si>
  <si>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</si>
  <si>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</si>
  <si>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</si>
  <si>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</si>
  <si>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</si>
  <si>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</si>
  <si>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</si>
  <si>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</si>
  <si>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</si>
  <si>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</si>
  <si>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</si>
  <si>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</si>
  <si>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</si>
  <si>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</si>
  <si>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</si>
  <si>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</si>
  <si>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</si>
  <si>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</si>
  <si>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</si>
  <si>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</si>
  <si>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</si>
  <si>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</si>
  <si>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</si>
  <si>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</si>
  <si>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</si>
  <si>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</si>
  <si>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</si>
  <si>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</si>
  <si>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</si>
  <si>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</si>
  <si>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</si>
  <si>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</si>
  <si>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</si>
  <si>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</si>
  <si>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</si>
  <si>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</si>
  <si>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</si>
  <si>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</si>
  <si>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</si>
  <si>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</si>
  <si>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</si>
  <si>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</si>
  <si>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</si>
  <si>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</si>
  <si>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</si>
  <si>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</si>
  <si>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</si>
  <si>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</si>
  <si>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</si>
  <si>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</si>
  <si>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</si>
  <si>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</si>
  <si>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</si>
  <si>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</si>
  <si>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</si>
  <si>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</si>
  <si>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</si>
  <si>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</si>
  <si>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</si>
  <si>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</si>
  <si>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</si>
  <si>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</si>
  <si>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</si>
  <si>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</si>
  <si>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</si>
  <si>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</si>
  <si>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</si>
  <si>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</si>
  <si>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</si>
  <si>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</si>
  <si>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</si>
  <si>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</si>
  <si>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</si>
  <si>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</si>
  <si>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</si>
  <si>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</si>
  <si>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</si>
  <si>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</si>
  <si>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</si>
  <si>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</si>
  <si>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</si>
  <si>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</si>
  <si>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</si>
  <si>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</si>
  <si>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</si>
  <si>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</si>
  <si>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</si>
  <si>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</si>
  <si>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</si>
  <si>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</si>
  <si>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</si>
  <si>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</si>
  <si>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</si>
  <si>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</si>
  <si>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</si>
  <si>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</si>
  <si>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</si>
  <si>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</si>
  <si>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</si>
  <si>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</si>
  <si>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</si>
  <si>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</si>
  <si>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</si>
  <si>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</si>
  <si>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</si>
  <si>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</si>
  <si>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</si>
  <si>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</si>
  <si>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</si>
  <si>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</si>
  <si>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</si>
  <si>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</si>
  <si>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</si>
  <si>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</si>
  <si>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</si>
  <si>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</si>
  <si>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</si>
  <si>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</si>
  <si>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</si>
  <si>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</si>
  <si>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</si>
  <si>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</si>
  <si>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</si>
  <si>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</si>
  <si>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</si>
  <si>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</si>
  <si>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</si>
  <si>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</si>
  <si>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</si>
  <si>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</si>
  <si>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</si>
  <si>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</si>
  <si>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</si>
  <si>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</si>
  <si>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</si>
  <si>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</si>
  <si>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</si>
  <si>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</si>
  <si>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</si>
  <si>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</si>
  <si>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</si>
  <si>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</si>
  <si>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</si>
  <si>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</si>
  <si>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</si>
  <si>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</si>
  <si>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</si>
  <si>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</si>
  <si>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</si>
  <si>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</si>
  <si>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</si>
  <si>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</si>
  <si>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</si>
  <si>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</si>
  <si>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</si>
  <si>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</si>
  <si>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</si>
  <si>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</si>
  <si>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</si>
  <si>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</si>
  <si>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</si>
  <si>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</si>
  <si>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</si>
  <si>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</si>
  <si>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</si>
  <si>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</si>
  <si>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</si>
  <si>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</si>
  <si>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</si>
  <si>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</si>
  <si>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</si>
  <si>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</si>
  <si>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</si>
  <si>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</si>
  <si>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</si>
  <si>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</si>
  <si>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</si>
  <si>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</si>
  <si>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</si>
  <si>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</si>
  <si>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</si>
  <si>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</si>
  <si>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</si>
  <si>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</si>
  <si>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</si>
  <si>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</si>
  <si>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</si>
  <si>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</si>
  <si>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</si>
  <si>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</si>
  <si>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</si>
  <si>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</si>
  <si>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</si>
  <si>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</si>
  <si>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</si>
  <si>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</si>
  <si>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</si>
  <si>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</si>
  <si>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</si>
  <si>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</si>
  <si>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</si>
  <si>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</si>
  <si>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</si>
  <si>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</si>
  <si>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</si>
  <si>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</si>
  <si>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</si>
  <si>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</si>
  <si>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</si>
  <si>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</si>
  <si>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</si>
  <si>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</si>
  <si>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</si>
  <si>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</si>
  <si>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</si>
  <si>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</si>
  <si>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</si>
  <si>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</si>
  <si>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</si>
  <si>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</si>
  <si>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</si>
  <si>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</si>
  <si>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</si>
  <si>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</si>
  <si>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</si>
  <si>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</si>
  <si>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</si>
  <si>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</si>
  <si>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</si>
  <si>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</si>
  <si>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</si>
  <si>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</si>
  <si>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</si>
  <si>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</si>
  <si>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</si>
  <si>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</si>
  <si>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</si>
  <si>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</si>
  <si>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</si>
  <si>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</si>
  <si>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</si>
  <si>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</si>
  <si>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</si>
  <si>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</si>
  <si>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</si>
  <si>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</si>
  <si>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</si>
  <si>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</si>
  <si>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</si>
  <si>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</si>
  <si>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</si>
  <si>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</si>
  <si>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</si>
  <si>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</si>
  <si>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</si>
  <si>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</si>
  <si>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</si>
  <si>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</si>
  <si>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</si>
  <si>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</si>
  <si>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</si>
  <si>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</si>
  <si>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</si>
  <si>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</si>
  <si>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</si>
  <si>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</si>
  <si>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</si>
  <si>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</si>
  <si>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</si>
  <si>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</si>
  <si>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</si>
  <si>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</si>
  <si>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</si>
  <si>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</si>
  <si>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</si>
  <si>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</si>
  <si>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</si>
  <si>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</si>
  <si>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</si>
  <si>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</si>
  <si>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</si>
  <si>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</si>
  <si>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</si>
  <si>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</si>
  <si>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</si>
  <si>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</si>
  <si>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</si>
  <si>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</si>
  <si>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</si>
  <si>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</si>
  <si>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</si>
  <si>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</si>
  <si>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</si>
  <si>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</si>
  <si>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</si>
  <si>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</si>
  <si>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</si>
  <si>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</si>
  <si>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</si>
  <si>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</si>
  <si>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</si>
  <si>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</si>
  <si>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</si>
  <si>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</si>
  <si>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</si>
  <si>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</si>
  <si>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</si>
  <si>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</si>
  <si>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</si>
  <si>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</si>
  <si>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</si>
  <si>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</si>
  <si>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</si>
  <si>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</si>
  <si>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</si>
  <si>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</si>
  <si>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</si>
  <si>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</si>
  <si>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</si>
  <si>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</si>
  <si>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</si>
  <si>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</si>
  <si>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</si>
  <si>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</si>
  <si>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</si>
  <si>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</si>
  <si>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</si>
  <si>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</si>
  <si>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</si>
  <si>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</si>
  <si>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</si>
  <si>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</si>
  <si>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</si>
  <si>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</si>
  <si>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</si>
  <si>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</si>
  <si>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</si>
  <si>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</si>
  <si>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</si>
  <si>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</si>
  <si>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</si>
  <si>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</si>
  <si>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</si>
  <si>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</si>
  <si>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</si>
  <si>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</si>
  <si>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</si>
  <si>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</si>
  <si>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</si>
  <si>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</si>
  <si>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</si>
  <si>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</si>
  <si>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</si>
  <si>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</si>
  <si>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</si>
  <si>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</si>
  <si>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</si>
  <si>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</si>
  <si>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</si>
  <si>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</si>
  <si>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</si>
  <si>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</si>
  <si>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</si>
  <si>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</si>
  <si>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</si>
  <si>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</si>
  <si>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</si>
  <si>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</si>
  <si>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</si>
  <si>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</si>
  <si>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</si>
  <si>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</si>
  <si>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</si>
  <si>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</si>
  <si>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</si>
  <si>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</si>
  <si>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</si>
  <si>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</si>
  <si>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</si>
  <si>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</si>
  <si>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</si>
  <si>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</si>
  <si>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</si>
  <si>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</si>
  <si>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</si>
  <si>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</si>
  <si>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</si>
  <si>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</si>
  <si>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</si>
  <si>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</si>
  <si>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</si>
  <si>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</si>
  <si>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</si>
  <si>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</si>
  <si>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</si>
  <si>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</si>
  <si>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95875</t>
  </si>
  <si>
    <t>93590</t>
  </si>
  <si>
    <t>SERVIÇOS PRELIMINARES</t>
  </si>
  <si>
    <t>PAVIMENTAÇÃO - PISTA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</si>
  <si>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</si>
  <si>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</si>
  <si>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</si>
  <si>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</si>
  <si>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</si>
  <si>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</si>
  <si>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</si>
  <si>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</si>
  <si>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</si>
  <si>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</si>
  <si>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</si>
  <si>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</si>
  <si>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</si>
  <si>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</si>
  <si>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</si>
  <si>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007</t>
  </si>
  <si>
    <t>COMPOSIÇÃO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</si>
  <si>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</si>
  <si>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</si>
  <si>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ÁREA DA PISTA = largura das pistas x comprimento pistas OU        Medir em planta no autocad.</t>
  </si>
  <si>
    <t>ADMINISTRAÇÃO LOCAL</t>
  </si>
  <si>
    <t>TERRAPLANAGEM</t>
  </si>
  <si>
    <t>103689</t>
  </si>
  <si>
    <t>1.Administração Local</t>
  </si>
  <si>
    <t>Encargos sociais sobre a mão de obra estão incluídos no custo dos serviços sem desoneração.
Horista: 112,88%
Mensalista: 69,79%</t>
  </si>
  <si>
    <t>PLACA DE OBRA - 3,60x1,80m</t>
  </si>
  <si>
    <t xml:space="preserve">Terraplanagem </t>
  </si>
  <si>
    <t>Pavimantação - Pista</t>
  </si>
  <si>
    <t xml:space="preserve">Sinalização Vertical </t>
  </si>
  <si>
    <t>TRECHO 01 (Primeiros 67,75m)</t>
  </si>
  <si>
    <t xml:space="preserve">3.Terraplanagem </t>
  </si>
  <si>
    <t>4.Pavimantação - Pista</t>
  </si>
  <si>
    <t xml:space="preserve">7.Sinalização Vertical </t>
  </si>
  <si>
    <t>Contagem em planta. TRECHO 01</t>
  </si>
  <si>
    <t>006</t>
  </si>
  <si>
    <t>Calçamento da Rua Lino Azambuja</t>
  </si>
  <si>
    <t>CALÇAMENTO RUA LINO AZAMBUJA</t>
  </si>
  <si>
    <t xml:space="preserve">Área total da via, medida em planta. </t>
  </si>
  <si>
    <t>Pavimentação da pista de rolamento com Paralelepípedo</t>
  </si>
  <si>
    <t>101167</t>
  </si>
  <si>
    <t>97914</t>
  </si>
  <si>
    <t>TRANSPORTE AREIA=consumo de areia por m³ (0,1313 m³) x área da pista X DMT 10km.</t>
  </si>
  <si>
    <t>TRANSPORTE PARALEPIPEDO= 35 X  area pista x volume do paralelepipedo (0,16*0,11*0,11)x  DMT de 30km (pq São Sepé é 45KM, coloco os 30km inciais depois o restante).</t>
  </si>
  <si>
    <t>TRANSPORTE  PARALEPIPEDO= 35 X  area pista x volume do paralelepipedo (0,16*0,11*0,11) x  DMT de 15km (pq São Sepé é 45KM, esses 15km é o restante que faltou).</t>
  </si>
  <si>
    <t>Visitas Técnicas Semanais (1x4x2,50 = 10) - meses x semanas x horas</t>
  </si>
  <si>
    <t>Fernando Cesar Nubias Pereira</t>
  </si>
  <si>
    <t>RS A - 228673-4</t>
  </si>
  <si>
    <t>13882809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</si>
</sst>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24" fillId="0" borderId="32" xfId="33" applyFont="1" applyBorder="1" applyAlignment="1">
      <alignment horizontal="center" vertical="center"/>
    </xf>
    <xf numFmtId="4" fontId="17" fillId="0" borderId="32" xfId="33" applyNumberFormat="1" applyFont="1" applyBorder="1" applyAlignment="1">
      <alignment horizontal="center" vertical="center" wrapText="1"/>
    </xf>
    <xf numFmtId="0" fontId="17" fillId="0" borderId="32" xfId="33" applyFont="1" applyBorder="1" applyAlignment="1">
      <alignment horizontal="center" vertic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33" applyFont="1" applyBorder="1" applyAlignment="1">
      <alignment horizontal="center" vertical="center" wrapText="1"/>
    </xf>
    <xf numFmtId="4" fontId="17" fillId="0" borderId="32" xfId="33" applyNumberFormat="1" applyFont="1" applyBorder="1" applyAlignment="1">
      <alignment horizontal="center" vertical="center"/>
    </xf>
    <xf numFmtId="164" fontId="8" fillId="16" borderId="14" xfId="32" applyFont="1" applyFill="1" applyBorder="1" applyAlignment="1" applyProtection="1">
      <alignment horizontal="left"/>
      <protection locked="0"/>
    </xf>
    <xf numFmtId="0" fontId="33" fillId="0" borderId="0" xfId="0" applyFont="1" applyAlignment="1">
      <alignment horizontal="center" vertical="top"/>
    </xf>
    <xf numFmtId="0" fontId="8" fillId="0" borderId="32" xfId="33" applyFont="1" applyBorder="1" applyAlignment="1">
      <alignment horizontal="left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0" fillId="0" borderId="0" xfId="33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0" fillId="0" borderId="10" xfId="33" applyFont="1" applyBorder="1" applyAlignment="1">
      <alignment horizontal="left" vertical="center"/>
    </xf>
    <xf numFmtId="0" fontId="23" fillId="0" borderId="32" xfId="33" applyFont="1" applyBorder="1" applyAlignment="1">
      <alignment horizontal="center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Alignment="1">
      <alignment horizontal="center" textRotation="90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24" fillId="17" borderId="32" xfId="0" applyFont="1" applyFill="1" applyBorder="1" applyAlignment="1">
      <alignment horizontal="left" vertical="center" wrapText="1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0" fontId="46" fillId="0" borderId="14" xfId="34" applyFont="1" applyBorder="1" applyAlignment="1">
      <alignment horizontal="left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wrapText="1"/>
    </xf>
    <xf numFmtId="0" fontId="0" fillId="0" borderId="40" xfId="0" applyBorder="1" applyAlignment="1">
      <alignment horizontal="left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176" fontId="24" fillId="8" borderId="32" xfId="0" applyNumberFormat="1" applyFont="1" applyFill="1" applyBorder="1" applyAlignment="1">
      <alignment horizontal="center" shrinkToFit="1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10" fontId="23" fillId="0" borderId="14" xfId="37" applyNumberFormat="1" applyFont="1" applyFill="1" applyBorder="1" applyAlignment="1" applyProtection="1">
      <alignment horizontal="center"/>
    </xf>
    <xf numFmtId="10" fontId="56" fillId="0" borderId="34" xfId="37" applyNumberFormat="1" applyFill="1" applyBorder="1" applyAlignment="1" applyProtection="1">
      <alignment horizontal="center"/>
    </xf>
    <xf numFmtId="177" fontId="56" fillId="0" borderId="30" xfId="48" applyNumberFormat="1" applyFill="1" applyBorder="1" applyAlignment="1" applyProtection="1">
      <alignment horizontal="center" shrinkToFit="1"/>
    </xf>
    <xf numFmtId="10" fontId="56" fillId="0" borderId="31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77" fontId="56" fillId="0" borderId="14" xfId="48" applyNumberFormat="1" applyFill="1" applyBorder="1" applyAlignment="1" applyProtection="1">
      <alignment horizontal="center" shrinkToFit="1"/>
    </xf>
    <xf numFmtId="0" fontId="24" fillId="0" borderId="32" xfId="0" applyFont="1" applyBorder="1" applyAlignment="1">
      <alignment horizontal="right" vertical="center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0" fillId="0" borderId="14" xfId="0" applyBorder="1" applyAlignment="1">
      <alignment horizontal="center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23" fillId="6" borderId="33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4" fontId="24" fillId="0" borderId="31" xfId="0" applyNumberFormat="1" applyFont="1" applyBorder="1" applyAlignment="1">
      <alignment horizontal="left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309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79" t="str">
        <f>CHOOSE(MATCH(Objeto,{"PM","PO"}),"PLANILHA MÚLTIPLA ","PLANILHA ORÇAMENTÁRIA ")&amp; Versao</f>
        <v>PLANILHA MÚLTIPLA v3.0.5</v>
      </c>
      <c r="F2" s="579"/>
      <c r="G2" s="579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79"/>
      <c r="F3" s="579"/>
      <c r="G3" s="579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78" t="str">
        <f>IF($O$3&lt;&gt;2,"DOCUMENTAÇÃO DA PROPOSTA","PROPOSTA: Para visualizar/preencher esta seção, altere o TIPO DE ORÇAMENTO para 'Proposto'")</f>
        <v>DOCUMENTAÇÃO DA PROPOSTA</v>
      </c>
      <c r="C8" s="578"/>
      <c r="D8" s="578"/>
      <c r="E8" s="578"/>
      <c r="F8" s="578"/>
      <c r="G8" s="578"/>
      <c r="H8" s="578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78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78"/>
      <c r="D16" s="578"/>
      <c r="E16" s="578"/>
      <c r="F16" s="578"/>
      <c r="G16" s="578"/>
      <c r="H16" s="578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78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78"/>
      <c r="D20" s="578"/>
      <c r="E20" s="578"/>
      <c r="F20" s="578"/>
      <c r="G20" s="578"/>
      <c r="H20" s="578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308" priority="70" stopIfTrue="1">
      <formula>TIPOORCAMENTO="Licitado"</formula>
    </cfRule>
  </conditionalFormatting>
  <conditionalFormatting sqref="C18:G18 E22:E24">
    <cfRule type="expression" dxfId="307" priority="71" stopIfTrue="1">
      <formula>TIPOORCAMENTO&lt;&gt;"Licitado"</formula>
    </cfRule>
  </conditionalFormatting>
  <conditionalFormatting sqref="C22">
    <cfRule type="expression" dxfId="306" priority="73" stopIfTrue="1">
      <formula>OR(TIPOORCAMENTO&lt;&gt;"Licitado",ACOMPANHAMENTO&lt;&gt;"PLE")</formula>
    </cfRule>
  </conditionalFormatting>
  <conditionalFormatting sqref="G22">
    <cfRule type="expression" dxfId="305" priority="74" stopIfTrue="1">
      <formula>OR(TIPOORCAMENTO&lt;&gt;"Licitado",ACOMPANHAMENTO&lt;&gt;"BM")</formula>
    </cfRule>
  </conditionalFormatting>
  <conditionalFormatting sqref="B16:H16 B20:H20">
    <cfRule type="expression" dxfId="304" priority="599" stopIfTrue="1">
      <formula>$O$3&lt;&gt;2</formula>
    </cfRule>
  </conditionalFormatting>
  <conditionalFormatting sqref="B8:H8">
    <cfRule type="expression" dxfId="303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5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19" sqref="A19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IF(AUTOEVENTO="Manual",IF(OFFSET(EVENTOS!$F$14,PLE!$B1,0)&gt;0,"F",""),IF(PLE!B1&lt;=MAX(CÁLCULO!$M$15:$M$32),"F",""))</f>
        <v>#REF!</v>
      </c>
      <c r="B1" s="286" t="e">
        <f ca="1">OFFSET(B1,-1,0)+1</f>
        <v>#REF!</v>
      </c>
      <c r="C1" s="647" t="e">
        <f ca="1">IF(AUTOEVENTO="Manual",IF($B1&lt;&gt;1,OFFSET(EVENTOS!$D$14,$B1,0),0),IF(B1&lt;=MAX(CÁLCULO!$M$15:$M$32),VLOOKUP($B1,CÁLCULO!$M$15:$N$32,2,FALSE),0))</f>
        <v>#REF!</v>
      </c>
      <c r="D1" s="647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583" t="s">
        <v>141</v>
      </c>
      <c r="AE3" s="583"/>
      <c r="AF3" s="583"/>
    </row>
    <row r="4" spans="1:33" ht="15.75" x14ac:dyDescent="0.2">
      <c r="B4" s="83"/>
      <c r="C4" s="83"/>
      <c r="H4" s="84" t="str">
        <f>import.recurso</f>
        <v>OGU</v>
      </c>
      <c r="AD4" s="584" t="s">
        <v>144</v>
      </c>
      <c r="AE4" s="584"/>
      <c r="AF4" s="584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48" t="str">
        <f>IF(TIPOORCAMENTO="Licitado","Nº CTEF","")</f>
        <v/>
      </c>
      <c r="AF6" s="648"/>
    </row>
    <row r="7" spans="1:33" x14ac:dyDescent="0.2">
      <c r="B7" s="634">
        <f>Import.CR</f>
        <v>0</v>
      </c>
      <c r="C7" s="634"/>
      <c r="D7" s="236">
        <f>Import.SICONV</f>
        <v>0</v>
      </c>
      <c r="E7" s="43"/>
      <c r="H7" s="644" t="str">
        <f>Import.Proponente</f>
        <v>Prefeitura Municipal de Caçapava do Sul</v>
      </c>
      <c r="I7" s="644"/>
      <c r="J7" s="644"/>
      <c r="K7" s="644"/>
      <c r="L7" s="644"/>
      <c r="M7" s="644"/>
      <c r="N7" s="644"/>
      <c r="O7" s="634" t="str">
        <f>Import.Apelido</f>
        <v>Calçamento da Rua Lino Azambuja</v>
      </c>
      <c r="P7" s="634"/>
      <c r="Q7" s="634"/>
      <c r="R7" s="634"/>
      <c r="S7" s="634"/>
      <c r="T7" s="634"/>
      <c r="U7" s="634"/>
      <c r="V7" s="634" t="str">
        <f>IF(TIPOORCAMENTO="Licitado",Import.empresa,Import.DescLote)</f>
        <v>Lote Único - Empreitada Preço Global</v>
      </c>
      <c r="W7" s="634"/>
      <c r="X7" s="634"/>
      <c r="Y7" s="634"/>
      <c r="Z7" s="634"/>
      <c r="AA7" s="634"/>
      <c r="AB7" s="634"/>
      <c r="AC7" s="634"/>
      <c r="AD7" s="634"/>
      <c r="AE7" s="649" t="str">
        <f>IF(TIPOORCAMENTO="Licitado",Import.CTEF,"")</f>
        <v/>
      </c>
      <c r="AF7" s="649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54">
        <v>1</v>
      </c>
      <c r="K9" s="654"/>
      <c r="M9" s="307" t="s">
        <v>285</v>
      </c>
      <c r="N9" s="655" t="str">
        <f ca="1">TEXT(IF(PLE.Medicao=1,Import.DataInicioObra,OFFSET($H$23,0,1+(PLE.Medicao-$I$24)*2-2)+1),"dd/mm/aaaa")&amp;" a "&amp;TEXT(OFFSET($H$23,0,1+(PLE.Medicao-$I$24)*2),"dd/mm/aaaa")</f>
        <v>01/07/2024 a 00/01/1900</v>
      </c>
      <c r="O9" s="655"/>
      <c r="P9" s="655"/>
      <c r="Q9" s="655"/>
      <c r="R9" s="655"/>
      <c r="S9" s="655"/>
      <c r="T9" s="655"/>
      <c r="U9" s="308"/>
      <c r="X9" s="307" t="s">
        <v>297</v>
      </c>
      <c r="Y9" s="659" t="e">
        <f ca="1">OFFSET($I$24,1+8*(ROUNDUP(($J$9-0)/((COLUMN($AG$14)-COLUMN($G$14)-1)/25*12),0)-1),ROUNDDOWN((($J$9-0)-OFFSET($I$24,8*(ROUNDUP(($J$9-0)/((COLUMN($AG$14)-COLUMN($G$14)-1)/25*12),0)-1),0))*(2+1/12),0))</f>
        <v>#DIV/0!</v>
      </c>
      <c r="Z9" s="659"/>
      <c r="AD9" s="307" t="s">
        <v>298</v>
      </c>
      <c r="AE9" s="659" t="e">
        <f ca="1">OFFSET($I$24,3+8*(ROUNDUP(($J$9-0)/((COLUMN($AG$14)-COLUMN($G$14)-1)/25*12),0)-1),ROUNDDOWN((($J$9-0)-OFFSET($I$24,8*(ROUNDUP(($J$9-0)/((COLUMN($AG$14)-COLUMN($G$14)-1)/25*12),0)-1),0))*(2+1/12),0))</f>
        <v>#DIV/0!</v>
      </c>
      <c r="AF9" s="659"/>
    </row>
    <row r="11" spans="1:33" ht="65.25" customHeight="1" x14ac:dyDescent="0.2">
      <c r="A11" s="290" t="s">
        <v>292</v>
      </c>
      <c r="C11" s="656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56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>TRECHO 01 (Primeiros 67,75m)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46" t="s">
        <v>268</v>
      </c>
      <c r="C12" s="646" t="s">
        <v>293</v>
      </c>
      <c r="D12" s="646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46"/>
      <c r="C13" s="646"/>
      <c r="D13" s="646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51" t="s">
        <v>271</v>
      </c>
      <c r="D15" s="651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IF(AUTOEVENTO="Manual",IF(OFFSET(EVENTOS!$F$14,PLE!$B16,0)&gt;0,"F",""),IF(PLE!B16&lt;=MAX(CÁLCULO!$M$15:$M$32),"F",""))</f>
        <v/>
      </c>
      <c r="B16" s="286">
        <f ca="1">OFFSET(B16,-1,0)+1</f>
        <v>2</v>
      </c>
      <c r="C16" s="647" t="str">
        <f ca="1">IF(AUTOEVENTO="Manual",IF($B16&lt;&gt;1,OFFSET(EVENTOS!$D$14,$B16,0),0),IF(B16&lt;=MAX(CÁLCULO!$M$15:$M$32),VLOOKUP($B16,CÁLCULO!$M$15:$N$32,2,FALSE),0))</f>
        <v>Serviços Preliminares</v>
      </c>
      <c r="D16" s="647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IF(AUTOEVENTO="Manual",IF(OFFSET(EVENTOS!$F$14,PLE!$B17,0)&gt;0,"F",""),IF(PLE!B17&lt;=MAX(CÁLCULO!$M$15:$M$32),"F",""))</f>
        <v/>
      </c>
      <c r="B17" s="286">
        <f ca="1">OFFSET(B17,-1,0)+1</f>
        <v>3</v>
      </c>
      <c r="C17" s="647" t="str">
        <f ca="1">IF(AUTOEVENTO="Manual",IF($B17&lt;&gt;1,OFFSET(EVENTOS!$D$14,$B17,0),0),IF(B17&lt;=MAX(CÁLCULO!$M$15:$M$32),VLOOKUP($B17,CÁLCULO!$M$15:$N$32,2,FALSE),0))</f>
        <v xml:space="preserve">Terraplanagem </v>
      </c>
      <c r="D17" s="647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IF(AUTOEVENTO="Manual",IF(OFFSET(EVENTOS!$F$14,PLE!$B18,0)&gt;0,"F",""),IF(PLE!B18&lt;=MAX(CÁLCULO!$M$15:$M$32),"F",""))</f>
        <v/>
      </c>
      <c r="B18" s="286">
        <f ca="1">OFFSET(B18,-1,0)+1</f>
        <v>4</v>
      </c>
      <c r="C18" s="647" t="str">
        <f ca="1">IF(AUTOEVENTO="Manual",IF($B18&lt;&gt;1,OFFSET(EVENTOS!$D$14,$B18,0),0),IF(B18&lt;=MAX(CÁLCULO!$M$15:$M$32),VLOOKUP($B18,CÁLCULO!$M$15:$N$32,2,FALSE),0))</f>
        <v>Pavimantação - Pista</v>
      </c>
      <c r="D18" s="647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73" customFormat="1" x14ac:dyDescent="0.2">
      <c r="A19" s="7" t="str">
        <f ca="1">IF(AUTOEVENTO="Manual",IF(OFFSET(EVENTOS!$F$14,PLE!$B19,0)&gt;0,"F",""),IF(PLE!B19&lt;=MAX(CÁLCULO!$M$15:$M$32),"F",""))</f>
        <v/>
      </c>
      <c r="B19" s="286">
        <f t="shared" ref="B19" ca="1" si="1">OFFSET(B19,-1,0)+1</f>
        <v>5</v>
      </c>
      <c r="C19" s="647" t="str">
        <f ca="1">IF(AUTOEVENTO="Manual",IF($B19&lt;&gt;1,OFFSET(EVENTOS!$D$14,$B19,0),0),IF(B19&lt;=MAX(CÁLCULO!$M$15:$M$32),VLOOKUP($B19,CÁLCULO!$M$15:$N$32,2,FALSE),0))</f>
        <v xml:space="preserve">Sinalização Vertical </v>
      </c>
      <c r="D19" s="647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ht="4.5" customHeight="1" x14ac:dyDescent="0.2">
      <c r="A20" s="7" t="s">
        <v>248</v>
      </c>
      <c r="B20" s="484"/>
      <c r="C20" s="485"/>
      <c r="D20" s="486"/>
      <c r="F20" s="138"/>
      <c r="H20" s="484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6"/>
    </row>
    <row r="21" spans="1:32" x14ac:dyDescent="0.2">
      <c r="A21" s="7" t="s">
        <v>248</v>
      </c>
    </row>
    <row r="22" spans="1:32" x14ac:dyDescent="0.2">
      <c r="A22" s="7" t="s">
        <v>248</v>
      </c>
      <c r="I22" s="657" t="s">
        <v>300</v>
      </c>
      <c r="J22" s="657"/>
      <c r="K22" s="657"/>
      <c r="L22" s="657"/>
      <c r="M22" s="657"/>
      <c r="N22" s="657"/>
      <c r="O22" s="657"/>
      <c r="P22" s="657"/>
      <c r="Q22" s="657"/>
      <c r="R22" s="657"/>
      <c r="S22" s="657"/>
      <c r="T22" s="657"/>
      <c r="U22" s="657"/>
      <c r="V22" s="657"/>
      <c r="W22" s="657"/>
      <c r="X22" s="657"/>
      <c r="Y22" s="657"/>
      <c r="Z22" s="657"/>
      <c r="AA22" s="657"/>
      <c r="AB22" s="657"/>
      <c r="AC22" s="657"/>
      <c r="AD22" s="657"/>
      <c r="AE22" s="657"/>
      <c r="AF22" s="657"/>
    </row>
    <row r="23" spans="1:32" x14ac:dyDescent="0.2">
      <c r="A23" s="7" t="s">
        <v>248</v>
      </c>
      <c r="I23" s="652"/>
      <c r="J23" s="650"/>
      <c r="K23" s="650"/>
      <c r="L23" s="650"/>
      <c r="M23" s="650"/>
      <c r="N23" s="650"/>
      <c r="O23" s="650"/>
      <c r="P23" s="650"/>
      <c r="Q23" s="650"/>
      <c r="R23" s="650"/>
      <c r="S23" s="650"/>
      <c r="T23" s="650"/>
      <c r="U23" s="650"/>
      <c r="V23" s="650"/>
      <c r="W23" s="650"/>
      <c r="X23" s="650"/>
      <c r="Y23" s="650"/>
      <c r="Z23" s="650"/>
      <c r="AA23" s="650"/>
      <c r="AB23" s="650"/>
      <c r="AC23" s="650"/>
      <c r="AD23" s="650"/>
      <c r="AE23" s="650"/>
      <c r="AF23" s="658"/>
    </row>
    <row r="24" spans="1:32" x14ac:dyDescent="0.2">
      <c r="A24" s="7" t="s">
        <v>248</v>
      </c>
      <c r="D24" s="309" t="s">
        <v>301</v>
      </c>
      <c r="I24" s="653">
        <f>IF(PLE.Medicao&lt;=12,1,TRUNC((PLE.Medicao - 2)/11,0) * 11 + 1)</f>
        <v>1</v>
      </c>
      <c r="J24" s="653"/>
      <c r="K24" s="653">
        <f>I24+1</f>
        <v>2</v>
      </c>
      <c r="L24" s="653"/>
      <c r="M24" s="653">
        <f>K24+1</f>
        <v>3</v>
      </c>
      <c r="N24" s="653"/>
      <c r="O24" s="653">
        <f>M24+1</f>
        <v>4</v>
      </c>
      <c r="P24" s="653"/>
      <c r="Q24" s="653">
        <f>O24+1</f>
        <v>5</v>
      </c>
      <c r="R24" s="653"/>
      <c r="S24" s="653">
        <f>Q24+1</f>
        <v>6</v>
      </c>
      <c r="T24" s="653"/>
      <c r="U24" s="653">
        <f>S24+1</f>
        <v>7</v>
      </c>
      <c r="V24" s="653"/>
      <c r="W24" s="653">
        <f>U24+1</f>
        <v>8</v>
      </c>
      <c r="X24" s="653"/>
      <c r="Y24" s="653">
        <f>W24+1</f>
        <v>9</v>
      </c>
      <c r="Z24" s="653"/>
      <c r="AA24" s="653">
        <f>Y24+1</f>
        <v>10</v>
      </c>
      <c r="AB24" s="653"/>
      <c r="AC24" s="653">
        <f>AA24+1</f>
        <v>11</v>
      </c>
      <c r="AD24" s="653"/>
      <c r="AE24" s="653">
        <f>AC24+1</f>
        <v>12</v>
      </c>
      <c r="AF24" s="653"/>
    </row>
    <row r="25" spans="1:32" x14ac:dyDescent="0.2">
      <c r="A25" s="7" t="s">
        <v>248</v>
      </c>
      <c r="D25" s="665" t="s">
        <v>285</v>
      </c>
      <c r="H25" s="310" t="s">
        <v>302</v>
      </c>
      <c r="I25" s="667" t="e">
        <f ca="1">ROUND(I26,2)/ORÇAMENTO!$X$15</f>
        <v>#DIV/0!</v>
      </c>
      <c r="J25" s="667"/>
      <c r="K25" s="660" t="e">
        <f ca="1">ROUND(K26,2)/ORÇAMENTO!$X$15</f>
        <v>#DIV/0!</v>
      </c>
      <c r="L25" s="660"/>
      <c r="M25" s="663" t="e">
        <f ca="1">ROUND(M26,2)/ORÇAMENTO!$X$15</f>
        <v>#DIV/0!</v>
      </c>
      <c r="N25" s="663"/>
      <c r="O25" s="660" t="e">
        <f ca="1">ROUND(O26,2)/ORÇAMENTO!$X$15</f>
        <v>#DIV/0!</v>
      </c>
      <c r="P25" s="660"/>
      <c r="Q25" s="663" t="e">
        <f ca="1">ROUND(Q26,2)/ORÇAMENTO!$X$15</f>
        <v>#DIV/0!</v>
      </c>
      <c r="R25" s="663"/>
      <c r="S25" s="660" t="e">
        <f ca="1">ROUND(S26,2)/ORÇAMENTO!$X$15</f>
        <v>#DIV/0!</v>
      </c>
      <c r="T25" s="660"/>
      <c r="U25" s="663" t="e">
        <f ca="1">ROUND(U26,2)/ORÇAMENTO!$X$15</f>
        <v>#DIV/0!</v>
      </c>
      <c r="V25" s="663"/>
      <c r="W25" s="660" t="e">
        <f ca="1">ROUND(W26,2)/ORÇAMENTO!$X$15</f>
        <v>#DIV/0!</v>
      </c>
      <c r="X25" s="660"/>
      <c r="Y25" s="663" t="e">
        <f ca="1">ROUND(Y26,2)/ORÇAMENTO!$X$15</f>
        <v>#DIV/0!</v>
      </c>
      <c r="Z25" s="663"/>
      <c r="AA25" s="660" t="e">
        <f ca="1">ROUND(AA26,2)/ORÇAMENTO!$X$15</f>
        <v>#DIV/0!</v>
      </c>
      <c r="AB25" s="660"/>
      <c r="AC25" s="663" t="e">
        <f ca="1">ROUND(AC26,2)/ORÇAMENTO!$X$15</f>
        <v>#DIV/0!</v>
      </c>
      <c r="AD25" s="663"/>
      <c r="AE25" s="660" t="e">
        <f ca="1">ROUND(AE26,2)/ORÇAMENTO!$X$15</f>
        <v>#DIV/0!</v>
      </c>
      <c r="AF25" s="660"/>
    </row>
    <row r="26" spans="1:32" x14ac:dyDescent="0.2">
      <c r="A26" s="7" t="s">
        <v>248</v>
      </c>
      <c r="D26" s="665"/>
      <c r="H26" s="12" t="s">
        <v>303</v>
      </c>
      <c r="I26" s="664" t="e">
        <f ca="1">IF(I24=1,I28,ROUND(I28,2)-ROUND(SUMIF(CÁLCULO!$AX$15:$BH$32,"&lt;="&amp;PLE!I24-1,CÁLCULO!$AB$15:$AL$32)*(1+CÁLCULO.TotalAdmLocal/(ORÇAMENTO!$X$15-CÁLCULO.TotalAdmLocal)),2))</f>
        <v>#DIV/0!</v>
      </c>
      <c r="J26" s="664"/>
      <c r="K26" s="664" t="e">
        <f ca="1">ROUND(K28,2)-ROUND(I28,2)</f>
        <v>#DIV/0!</v>
      </c>
      <c r="L26" s="664"/>
      <c r="M26" s="661" t="e">
        <f ca="1">ROUND(M28,2)-ROUND(K28,2)</f>
        <v>#DIV/0!</v>
      </c>
      <c r="N26" s="661"/>
      <c r="O26" s="664" t="e">
        <f ca="1">ROUND(O28,2)-ROUND(M28,2)</f>
        <v>#DIV/0!</v>
      </c>
      <c r="P26" s="664"/>
      <c r="Q26" s="661" t="e">
        <f ca="1">ROUND(Q28,2)-ROUND(O28,2)</f>
        <v>#DIV/0!</v>
      </c>
      <c r="R26" s="661"/>
      <c r="S26" s="664" t="e">
        <f ca="1">ROUND(S28,2)-ROUND(Q28,2)</f>
        <v>#DIV/0!</v>
      </c>
      <c r="T26" s="664"/>
      <c r="U26" s="661" t="e">
        <f ca="1">ROUND(U28,2)-ROUND(S28,2)</f>
        <v>#DIV/0!</v>
      </c>
      <c r="V26" s="661"/>
      <c r="W26" s="664" t="e">
        <f ca="1">ROUND(W28,2)-ROUND(U28,2)</f>
        <v>#DIV/0!</v>
      </c>
      <c r="X26" s="664"/>
      <c r="Y26" s="661" t="e">
        <f ca="1">ROUND(Y28,2)-ROUND(W28,2)</f>
        <v>#DIV/0!</v>
      </c>
      <c r="Z26" s="661"/>
      <c r="AA26" s="664" t="e">
        <f ca="1">ROUND(AA28,2)-ROUND(Y28,2)</f>
        <v>#DIV/0!</v>
      </c>
      <c r="AB26" s="664"/>
      <c r="AC26" s="661" t="e">
        <f ca="1">ROUND(AC28,2)-ROUND(AA28,2)</f>
        <v>#DIV/0!</v>
      </c>
      <c r="AD26" s="661"/>
      <c r="AE26" s="664" t="e">
        <f ca="1">ROUND(AE28,2)-ROUND(AC28,2)</f>
        <v>#DIV/0!</v>
      </c>
      <c r="AF26" s="664"/>
    </row>
    <row r="27" spans="1:32" x14ac:dyDescent="0.2">
      <c r="A27" s="7" t="s">
        <v>248</v>
      </c>
      <c r="D27" s="665" t="s">
        <v>289</v>
      </c>
      <c r="H27" s="310" t="s">
        <v>302</v>
      </c>
      <c r="I27" s="666" t="e">
        <f ca="1">ROUND(I28,2)/ORÇAMENTO!$X$15</f>
        <v>#DIV/0!</v>
      </c>
      <c r="J27" s="666"/>
      <c r="K27" s="662" t="e">
        <f ca="1">ROUND(K28,2)/ORÇAMENTO!$X$15</f>
        <v>#DIV/0!</v>
      </c>
      <c r="L27" s="662"/>
      <c r="M27" s="668" t="e">
        <f ca="1">ROUND(M28,2)/ORÇAMENTO!$X$15</f>
        <v>#DIV/0!</v>
      </c>
      <c r="N27" s="668"/>
      <c r="O27" s="662" t="e">
        <f ca="1">ROUND(O28,2)/ORÇAMENTO!$X$15</f>
        <v>#DIV/0!</v>
      </c>
      <c r="P27" s="662"/>
      <c r="Q27" s="668" t="e">
        <f ca="1">ROUND(Q28,2)/ORÇAMENTO!$X$15</f>
        <v>#DIV/0!</v>
      </c>
      <c r="R27" s="668"/>
      <c r="S27" s="662" t="e">
        <f ca="1">ROUND(S28,2)/ORÇAMENTO!$X$15</f>
        <v>#DIV/0!</v>
      </c>
      <c r="T27" s="662"/>
      <c r="U27" s="668" t="e">
        <f ca="1">ROUND(U28,2)/ORÇAMENTO!$X$15</f>
        <v>#DIV/0!</v>
      </c>
      <c r="V27" s="668"/>
      <c r="W27" s="662" t="e">
        <f ca="1">ROUND(W28,2)/ORÇAMENTO!$X$15</f>
        <v>#DIV/0!</v>
      </c>
      <c r="X27" s="662"/>
      <c r="Y27" s="668" t="e">
        <f ca="1">ROUND(Y28,2)/ORÇAMENTO!$X$15</f>
        <v>#DIV/0!</v>
      </c>
      <c r="Z27" s="668"/>
      <c r="AA27" s="662" t="e">
        <f ca="1">ROUND(AA28,2)/ORÇAMENTO!$X$15</f>
        <v>#DIV/0!</v>
      </c>
      <c r="AB27" s="662"/>
      <c r="AC27" s="668" t="e">
        <f ca="1">ROUND(AC28,2)/ORÇAMENTO!$X$15</f>
        <v>#DIV/0!</v>
      </c>
      <c r="AD27" s="668"/>
      <c r="AE27" s="662" t="e">
        <f ca="1">ROUND(AE28,2)/ORÇAMENTO!$X$15</f>
        <v>#DIV/0!</v>
      </c>
      <c r="AF27" s="662"/>
    </row>
    <row r="28" spans="1:32" x14ac:dyDescent="0.2">
      <c r="A28" s="7" t="s">
        <v>248</v>
      </c>
      <c r="D28" s="665"/>
      <c r="H28" s="12" t="s">
        <v>303</v>
      </c>
      <c r="I28" s="669" t="e">
        <f ca="1">SUMIF(CÁLCULO!$AX$15:$BH$32,"&lt;="&amp;PLE!I24,CÁLCULO!$AB$15:$AL$32)*(1+CÁLCULO.TotalAdmLocal/(ORÇAMENTO!$X$15-CÁLCULO.TotalAdmLocal))</f>
        <v>#DIV/0!</v>
      </c>
      <c r="J28" s="669"/>
      <c r="K28" s="664" t="e">
        <f ca="1">SUMIF(CÁLCULO!$AX$15:$BH$32,"&lt;="&amp;PLE!K24,CÁLCULO!$AB$15:$AL$32)*(1+CÁLCULO.TotalAdmLocal/(ORÇAMENTO!$X$15-CÁLCULO.TotalAdmLocal))</f>
        <v>#DIV/0!</v>
      </c>
      <c r="L28" s="664"/>
      <c r="M28" s="661" t="e">
        <f ca="1">SUMIF(CÁLCULO!$AX$15:$BH$32,"&lt;="&amp;PLE!M24,CÁLCULO!$AB$15:$AL$32)*(1+CÁLCULO.TotalAdmLocal/(ORÇAMENTO!$X$15-CÁLCULO.TotalAdmLocal))</f>
        <v>#DIV/0!</v>
      </c>
      <c r="N28" s="661"/>
      <c r="O28" s="664" t="e">
        <f ca="1">SUMIF(CÁLCULO!$AX$15:$BH$32,"&lt;="&amp;PLE!O24,CÁLCULO!$AB$15:$AL$32)*(1+CÁLCULO.TotalAdmLocal/(ORÇAMENTO!$X$15-CÁLCULO.TotalAdmLocal))</f>
        <v>#DIV/0!</v>
      </c>
      <c r="P28" s="664"/>
      <c r="Q28" s="661" t="e">
        <f ca="1">SUMIF(CÁLCULO!$AX$15:$BH$32,"&lt;="&amp;PLE!Q24,CÁLCULO!$AB$15:$AL$32)*(1+CÁLCULO.TotalAdmLocal/(ORÇAMENTO!$X$15-CÁLCULO.TotalAdmLocal))</f>
        <v>#DIV/0!</v>
      </c>
      <c r="R28" s="661"/>
      <c r="S28" s="664" t="e">
        <f ca="1">SUMIF(CÁLCULO!$AX$15:$BH$32,"&lt;="&amp;PLE!S24,CÁLCULO!$AB$15:$AL$32)*(1+CÁLCULO.TotalAdmLocal/(ORÇAMENTO!$X$15-CÁLCULO.TotalAdmLocal))</f>
        <v>#DIV/0!</v>
      </c>
      <c r="T28" s="664"/>
      <c r="U28" s="661" t="e">
        <f ca="1">SUMIF(CÁLCULO!$AX$15:$BH$32,"&lt;="&amp;PLE!U24,CÁLCULO!$AB$15:$AL$32)*(1+CÁLCULO.TotalAdmLocal/(ORÇAMENTO!$X$15-CÁLCULO.TotalAdmLocal))</f>
        <v>#DIV/0!</v>
      </c>
      <c r="V28" s="661"/>
      <c r="W28" s="664" t="e">
        <f ca="1">SUMIF(CÁLCULO!$AX$15:$BH$32,"&lt;="&amp;PLE!W24,CÁLCULO!$AB$15:$AL$32)*(1+CÁLCULO.TotalAdmLocal/(ORÇAMENTO!$X$15-CÁLCULO.TotalAdmLocal))</f>
        <v>#DIV/0!</v>
      </c>
      <c r="X28" s="664"/>
      <c r="Y28" s="661" t="e">
        <f ca="1">SUMIF(CÁLCULO!$AX$15:$BH$32,"&lt;="&amp;PLE!Y24,CÁLCULO!$AB$15:$AL$32)*(1+CÁLCULO.TotalAdmLocal/(ORÇAMENTO!$X$15-CÁLCULO.TotalAdmLocal))</f>
        <v>#DIV/0!</v>
      </c>
      <c r="Z28" s="661"/>
      <c r="AA28" s="664" t="e">
        <f ca="1">SUMIF(CÁLCULO!$AX$15:$BH$32,"&lt;="&amp;PLE!AA24,CÁLCULO!$AB$15:$AL$32)*(1+CÁLCULO.TotalAdmLocal/(ORÇAMENTO!$X$15-CÁLCULO.TotalAdmLocal))</f>
        <v>#DIV/0!</v>
      </c>
      <c r="AB28" s="664"/>
      <c r="AC28" s="661" t="e">
        <f ca="1">SUMIF(CÁLCULO!$AX$15:$BH$32,"&lt;="&amp;PLE!AC24,CÁLCULO!$AB$15:$AL$32)*(1+CÁLCULO.TotalAdmLocal/(ORÇAMENTO!$X$15-CÁLCULO.TotalAdmLocal))</f>
        <v>#DIV/0!</v>
      </c>
      <c r="AD28" s="661"/>
      <c r="AE28" s="664" t="e">
        <f ca="1">SUMIF(CÁLCULO!$AX$15:$BH$32,"&lt;="&amp;PLE!AE24,CÁLCULO!$AB$15:$AL$32)*(1+CÁLCULO.TotalAdmLocal/(ORÇAMENTO!$X$15-CÁLCULO.TotalAdmLocal))</f>
        <v>#DIV/0!</v>
      </c>
      <c r="AF28" s="664"/>
    </row>
    <row r="29" spans="1:32" ht="20.25" customHeight="1" x14ac:dyDescent="0.2">
      <c r="A29" s="7" t="s">
        <v>248</v>
      </c>
    </row>
    <row r="30" spans="1:32" ht="15" x14ac:dyDescent="0.2">
      <c r="A30" s="7" t="s">
        <v>248</v>
      </c>
      <c r="B30" s="617" t="str">
        <f>Import.Município</f>
        <v>Caçapava do Sul/RS</v>
      </c>
      <c r="C30" s="617"/>
      <c r="D30" s="617"/>
      <c r="U30" s="145"/>
      <c r="V30" s="145"/>
      <c r="W30" s="145"/>
      <c r="X30" s="145"/>
      <c r="Y30" s="193"/>
      <c r="Z30" s="193"/>
      <c r="AA30" s="193"/>
      <c r="AB30" s="193"/>
      <c r="AC30" s="193"/>
      <c r="AD30" s="193"/>
    </row>
    <row r="31" spans="1:32" x14ac:dyDescent="0.2">
      <c r="A31" s="7" t="s">
        <v>248</v>
      </c>
      <c r="B31" s="10" t="s">
        <v>190</v>
      </c>
      <c r="U31" s="194" t="s">
        <v>304</v>
      </c>
    </row>
    <row r="32" spans="1:32" x14ac:dyDescent="0.2">
      <c r="A32" s="7" t="s">
        <v>248</v>
      </c>
      <c r="I32" s="80"/>
      <c r="U32" s="78" t="s">
        <v>109</v>
      </c>
      <c r="W32" s="311">
        <f t="array" ref="W32:W35">Import.RespFiscalização</f>
        <v>0</v>
      </c>
    </row>
    <row r="33" spans="1:23" x14ac:dyDescent="0.2">
      <c r="A33" s="7" t="s">
        <v>248</v>
      </c>
      <c r="B33" s="612">
        <f ca="1">DADOS!$F$47</f>
        <v>45545</v>
      </c>
      <c r="C33" s="612"/>
      <c r="D33" s="612"/>
      <c r="I33" s="80"/>
      <c r="U33" s="78" t="s">
        <v>128</v>
      </c>
      <c r="W33" s="311">
        <v>0</v>
      </c>
    </row>
    <row r="34" spans="1:23" x14ac:dyDescent="0.2">
      <c r="A34" s="7" t="s">
        <v>248</v>
      </c>
      <c r="B34" s="146" t="s">
        <v>191</v>
      </c>
      <c r="C34" s="1"/>
      <c r="D34" s="1"/>
      <c r="I34" s="80"/>
      <c r="U34" s="78" t="s">
        <v>110</v>
      </c>
      <c r="W34" s="311">
        <v>0</v>
      </c>
    </row>
    <row r="35" spans="1:23" x14ac:dyDescent="0.2">
      <c r="U35" s="78" t="s">
        <v>111</v>
      </c>
      <c r="W35" s="13">
        <v>0</v>
      </c>
    </row>
  </sheetData>
  <sheetProtection password="BD1F" sheet="1" objects="1" scenarios="1" autoFilter="0"/>
  <autoFilter ref="A13:A34"/>
  <mergeCells count="98">
    <mergeCell ref="U23:V23"/>
    <mergeCell ref="K24:L24"/>
    <mergeCell ref="M26:N26"/>
    <mergeCell ref="AA26:AB26"/>
    <mergeCell ref="S26:T26"/>
    <mergeCell ref="O25:P25"/>
    <mergeCell ref="M25:N25"/>
    <mergeCell ref="Y25:Z25"/>
    <mergeCell ref="W25:X25"/>
    <mergeCell ref="Q25:R25"/>
    <mergeCell ref="O26:P26"/>
    <mergeCell ref="Q26:R26"/>
    <mergeCell ref="W26:X26"/>
    <mergeCell ref="U24:V24"/>
    <mergeCell ref="Y24:Z24"/>
    <mergeCell ref="AA24:AB24"/>
    <mergeCell ref="AC28:AD28"/>
    <mergeCell ref="AC27:AD27"/>
    <mergeCell ref="AE28:AF28"/>
    <mergeCell ref="Q28:R28"/>
    <mergeCell ref="Y28:Z28"/>
    <mergeCell ref="AA28:AB28"/>
    <mergeCell ref="AE27:AF27"/>
    <mergeCell ref="Q27:R27"/>
    <mergeCell ref="S28:T28"/>
    <mergeCell ref="W28:X28"/>
    <mergeCell ref="W27:X27"/>
    <mergeCell ref="U27:V27"/>
    <mergeCell ref="Y27:Z27"/>
    <mergeCell ref="U28:V28"/>
    <mergeCell ref="O28:P28"/>
    <mergeCell ref="S27:T27"/>
    <mergeCell ref="B33:D33"/>
    <mergeCell ref="B30:D30"/>
    <mergeCell ref="D27:D28"/>
    <mergeCell ref="M27:N27"/>
    <mergeCell ref="M28:N28"/>
    <mergeCell ref="I28:J28"/>
    <mergeCell ref="O27:P27"/>
    <mergeCell ref="D25:D26"/>
    <mergeCell ref="K28:L28"/>
    <mergeCell ref="K27:L27"/>
    <mergeCell ref="I27:J27"/>
    <mergeCell ref="K26:L26"/>
    <mergeCell ref="I26:J26"/>
    <mergeCell ref="K25:L25"/>
    <mergeCell ref="I25:J25"/>
    <mergeCell ref="W24:X24"/>
    <mergeCell ref="AE26:AF26"/>
    <mergeCell ref="AC25:AD25"/>
    <mergeCell ref="AC26:AD26"/>
    <mergeCell ref="AE25:AF25"/>
    <mergeCell ref="AC24:AD24"/>
    <mergeCell ref="S25:T25"/>
    <mergeCell ref="Y26:Z26"/>
    <mergeCell ref="U26:V26"/>
    <mergeCell ref="AA27:AB27"/>
    <mergeCell ref="AA25:AB25"/>
    <mergeCell ref="U25:V25"/>
    <mergeCell ref="AA23:AB23"/>
    <mergeCell ref="Y23:Z23"/>
    <mergeCell ref="Y9:Z9"/>
    <mergeCell ref="AE9:AF9"/>
    <mergeCell ref="AE24:AF24"/>
    <mergeCell ref="Q24:R24"/>
    <mergeCell ref="J9:K9"/>
    <mergeCell ref="N9:T9"/>
    <mergeCell ref="C11:D11"/>
    <mergeCell ref="M24:N24"/>
    <mergeCell ref="O24:P24"/>
    <mergeCell ref="K23:L23"/>
    <mergeCell ref="I24:J24"/>
    <mergeCell ref="S24:T24"/>
    <mergeCell ref="Q23:R23"/>
    <mergeCell ref="S23:T23"/>
    <mergeCell ref="M23:N23"/>
    <mergeCell ref="I22:AF22"/>
    <mergeCell ref="AE23:AF23"/>
    <mergeCell ref="AC23:AD23"/>
    <mergeCell ref="W23:X23"/>
    <mergeCell ref="B12:B13"/>
    <mergeCell ref="O23:P23"/>
    <mergeCell ref="C18:D18"/>
    <mergeCell ref="C15:D15"/>
    <mergeCell ref="C16:D16"/>
    <mergeCell ref="C12:D13"/>
    <mergeCell ref="C17:D17"/>
    <mergeCell ref="I23:J23"/>
    <mergeCell ref="C19:D19"/>
    <mergeCell ref="C1:D1"/>
    <mergeCell ref="AD3:AF3"/>
    <mergeCell ref="AD4:AF4"/>
    <mergeCell ref="AE6:AF6"/>
    <mergeCell ref="H7:N7"/>
    <mergeCell ref="O7:U7"/>
    <mergeCell ref="B7:C7"/>
    <mergeCell ref="AE7:AF7"/>
    <mergeCell ref="V7:AD7"/>
  </mergeCells>
  <phoneticPr fontId="38" type="noConversion"/>
  <conditionalFormatting sqref="F1:F2 F19">
    <cfRule type="expression" dxfId="85" priority="415" stopIfTrue="1">
      <formula>IF(OR(ACOMPANHAMENTO="BM",F$12&gt;CÁLCULO.NúmeroDeFrentes),TRUE,PLE.ValorDoEvento=0)</formula>
    </cfRule>
    <cfRule type="cellIs" dxfId="84" priority="416" stopIfTrue="1" operator="equal">
      <formula>$J$9</formula>
    </cfRule>
  </conditionalFormatting>
  <conditionalFormatting sqref="I25:AF25">
    <cfRule type="expression" dxfId="83" priority="417" stopIfTrue="1">
      <formula>I24=$J$9</formula>
    </cfRule>
  </conditionalFormatting>
  <conditionalFormatting sqref="I26:AF26">
    <cfRule type="expression" dxfId="82" priority="418" stopIfTrue="1">
      <formula>I24=$J$9</formula>
    </cfRule>
  </conditionalFormatting>
  <conditionalFormatting sqref="I27:AF27">
    <cfRule type="expression" dxfId="81" priority="419" stopIfTrue="1">
      <formula>I24=$J$9</formula>
    </cfRule>
  </conditionalFormatting>
  <conditionalFormatting sqref="I28:AF28">
    <cfRule type="expression" dxfId="80" priority="420" stopIfTrue="1">
      <formula>I24=$J$9</formula>
    </cfRule>
  </conditionalFormatting>
  <conditionalFormatting sqref="H1:AF1 H19:AF19">
    <cfRule type="expression" dxfId="79" priority="432" stopIfTrue="1">
      <formula>IF(OR(ACOMPANHAMENTO="BM",TIPOORCAMENTO="Proposto",H$12&gt;CÁLCULO.NúmeroDeFrentes),TRUE,PLE.ValorDoEvento=0)</formula>
    </cfRule>
    <cfRule type="cellIs" dxfId="78" priority="433" stopIfTrue="1" operator="equal">
      <formula>$J$9</formula>
    </cfRule>
  </conditionalFormatting>
  <conditionalFormatting sqref="AE6:AE7">
    <cfRule type="expression" dxfId="77" priority="421" stopIfTrue="1">
      <formula>TIPOORCAMENTO&lt;&gt;"Licitado"</formula>
    </cfRule>
  </conditionalFormatting>
  <conditionalFormatting sqref="N9:T9">
    <cfRule type="expression" dxfId="76" priority="422" stopIfTrue="1">
      <formula>COLUMN(N9)&gt;COLUMN($AF$12)</formula>
    </cfRule>
    <cfRule type="expression" dxfId="75" priority="423" stopIfTrue="1">
      <formula>$N$9="DIGITE A DATA DA MEDIÇÃO"</formula>
    </cfRule>
  </conditionalFormatting>
  <conditionalFormatting sqref="I9:M9 U9:AF9">
    <cfRule type="expression" dxfId="74" priority="424" stopIfTrue="1">
      <formula>COLUMN(I9)&gt;COLUMN($AF$12)</formula>
    </cfRule>
  </conditionalFormatting>
  <conditionalFormatting sqref="F16:F17">
    <cfRule type="expression" dxfId="73" priority="21" stopIfTrue="1">
      <formula>IF(OR(ACOMPANHAMENTO="BM",F$12&gt;CÁLCULO.NúmeroDeFrentes),TRUE,PLE.ValorDoEvento=0)</formula>
    </cfRule>
    <cfRule type="cellIs" dxfId="72" priority="22" stopIfTrue="1" operator="equal">
      <formula>$J$9</formula>
    </cfRule>
  </conditionalFormatting>
  <conditionalFormatting sqref="H16:AF17">
    <cfRule type="expression" dxfId="71" priority="23" stopIfTrue="1">
      <formula>IF(OR(ACOMPANHAMENTO="BM",TIPOORCAMENTO="Proposto",H$12&gt;CÁLCULO.NúmeroDeFrentes),TRUE,PLE.ValorDoEvento=0)</formula>
    </cfRule>
    <cfRule type="cellIs" dxfId="70" priority="24" stopIfTrue="1" operator="equal">
      <formula>$J$9</formula>
    </cfRule>
  </conditionalFormatting>
  <conditionalFormatting sqref="F18">
    <cfRule type="expression" dxfId="69" priority="13" stopIfTrue="1">
      <formula>IF(OR(ACOMPANHAMENTO="BM",F$12&gt;CÁLCULO.NúmeroDeFrentes),TRUE,PLE.ValorDoEvento=0)</formula>
    </cfRule>
    <cfRule type="cellIs" dxfId="68" priority="14" stopIfTrue="1" operator="equal">
      <formula>$J$9</formula>
    </cfRule>
  </conditionalFormatting>
  <conditionalFormatting sqref="H18:AF18">
    <cfRule type="expression" dxfId="67" priority="15" stopIfTrue="1">
      <formula>IF(OR(ACOMPANHAMENTO="BM",TIPOORCAMENTO="Proposto",H$12&gt;CÁLCULO.NúmeroDeFrentes),TRUE,PLE.ValorDoEvento=0)</formula>
    </cfRule>
    <cfRule type="cellIs" dxfId="66" priority="16" stopIfTrue="1" operator="equal">
      <formula>$J$9</formula>
    </cfRule>
  </conditionalFormatting>
  <dataValidations count="3">
    <dataValidation type="whole" operator="greaterThan" allowBlank="1" showErrorMessage="1" sqref="F1:F4 I3:AC4 J9:K9 F16:F19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19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585" t="s">
        <v>147</v>
      </c>
      <c r="E3" s="585"/>
      <c r="F3" s="89" t="s">
        <v>148</v>
      </c>
      <c r="G3" s="585" t="s">
        <v>149</v>
      </c>
      <c r="H3" s="585"/>
      <c r="I3" s="585"/>
      <c r="J3" s="670" t="s">
        <v>308</v>
      </c>
      <c r="K3" s="670"/>
      <c r="L3" s="670"/>
      <c r="M3" s="671" t="s">
        <v>309</v>
      </c>
      <c r="N3" s="671"/>
      <c r="O3" s="671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582">
        <f>Import.CR</f>
        <v>0</v>
      </c>
      <c r="E4" s="582"/>
      <c r="F4" s="57">
        <f>Import.SICONV</f>
        <v>0</v>
      </c>
      <c r="G4" s="582" t="str">
        <f>Import.Proponente</f>
        <v>Prefeitura Municipal de Caçapava do Sul</v>
      </c>
      <c r="H4" s="582"/>
      <c r="I4" s="582"/>
      <c r="J4" s="672" t="str">
        <f>Import.Município</f>
        <v>Caçapava do Sul/RS</v>
      </c>
      <c r="K4" s="672"/>
      <c r="L4" s="672"/>
      <c r="M4" s="671"/>
      <c r="N4" s="671"/>
      <c r="O4" s="671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585" t="s">
        <v>204</v>
      </c>
      <c r="E6" s="585"/>
      <c r="F6" s="585"/>
      <c r="G6" s="585"/>
      <c r="H6" s="585"/>
      <c r="I6" s="585"/>
      <c r="J6" s="585"/>
      <c r="K6" s="585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611" t="s">
        <v>211</v>
      </c>
      <c r="D7" s="582" t="str">
        <f>Import.Apelido</f>
        <v>Calçamento da Rua Lino Azambuja</v>
      </c>
      <c r="E7" s="582"/>
      <c r="F7" s="582"/>
      <c r="G7" s="582"/>
      <c r="H7" s="582"/>
      <c r="I7" s="582"/>
      <c r="J7" s="582"/>
      <c r="K7" s="582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611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611"/>
      <c r="G9" s="675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$32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75"/>
      <c r="I9" s="675"/>
      <c r="J9" s="675"/>
      <c r="K9" s="676" t="s">
        <v>315</v>
      </c>
      <c r="L9" s="318" t="str">
        <f>$L$13</f>
        <v>Repasse (R$)</v>
      </c>
      <c r="M9" s="318" t="s">
        <v>240</v>
      </c>
      <c r="AD9" s="673"/>
      <c r="AE9" s="673"/>
    </row>
    <row r="10" spans="1:31" ht="12.75" customHeight="1" x14ac:dyDescent="0.2">
      <c r="A10" s="677" t="s">
        <v>316</v>
      </c>
      <c r="C10" s="611"/>
      <c r="G10" s="675"/>
      <c r="H10" s="675"/>
      <c r="I10" s="675"/>
      <c r="J10" s="675"/>
      <c r="K10" s="676"/>
      <c r="L10" s="319">
        <f ca="1">Import.Repasse-L15</f>
        <v>0</v>
      </c>
      <c r="M10" s="320">
        <f ca="1">Import.Contrapartida-M15</f>
        <v>0</v>
      </c>
      <c r="Z10" s="624" t="s">
        <v>218</v>
      </c>
      <c r="AA10" s="624"/>
      <c r="AB10" s="624"/>
      <c r="AD10" s="673" t="s">
        <v>317</v>
      </c>
      <c r="AE10" s="673"/>
    </row>
    <row r="11" spans="1:31" ht="20.100000000000001" customHeight="1" x14ac:dyDescent="0.2">
      <c r="A11" s="677"/>
      <c r="C11" s="611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IF(NOT(ISBLANK(QCI.DescManual)),IF(QCI.Divisao="Calculado","Manual","SemiAuto"),IF(ISERROR(MATCH($A12,ORÇAMENTO!$E$15:$E$32,0)),"Branco","Automático"))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IF(OR($B12="Manual",$B12="SemiAuto"),QCI.DescManual,IF($B12="Automático",INDEX(ORÇAMENTO!$R$15:$R$32,MATCH($A12,ORÇAMENTO!$E$15:$E$32,0)),""))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IF($B12="Branco",0,IF(OR($B12="Manual",$B12="SemiAuto"),QCI.InvManual,INDEX(ORÇAMENTO!X$15:X$32,MATCH($A12,ORÇAMENTO!$E$15:$E$32,0))))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IF($B12="Branco",0,IF($B12="Manual",QCI.CPManual,IF($B12="SemiAuto",ROUND(QCI!$AA$3*QCI.InvManual,2),INDEX(ORÇAMENTO!$AA$15:$AA$32,MATCH($A12,ORÇAMENTO!$E$15:$E$32,0)))))</f>
        <v>0</v>
      </c>
      <c r="AB12">
        <f ca="1">IF($B12="Branco",0,IF($B12="Manual",QCI.OutrosManual,IF($B12="SemiAuto",0,INDEX(ORÇAMENTO!$AB$15:$AB$32,MATCH($A12,ORÇAMENTO!$E$15:$E$32,0)))))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IF(NOT(ISBLANK(QCI.DescManual)),IF(QCI.Divisao="Calculado","Manual","SemiAuto"),IF(ISERROR(MATCH($A14,ORÇAMENTO!$E$15:$E$32,0)),"Branco","Automático"))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IF(OR($B14="Manual",$B14="SemiAuto"),QCI.DescManual,IF($B14="Automático",INDEX(ORÇAMENTO!$R$15:$R$32,MATCH($A14,ORÇAMENTO!$E$15:$E$32,0)),""))</f>
        <v>CALÇAMENTO RUA LINO AZAMBUJA</v>
      </c>
      <c r="H14" s="120" t="s">
        <v>451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IF($B14="Branco",0,IF(OR($B14="Manual",$B14="SemiAuto"),QCI.InvManual,INDEX(ORÇAMENTO!X$15:X$32,MATCH($A14,ORÇAMENTO!$E$15:$E$32,0))))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IF($B14="Branco",0,IF($B14="Manual",QCI.CPManual,IF($B14="SemiAuto",ROUND(QCI!$AA$3*QCI.InvManual,2),INDEX(ORÇAMENTO!$AA$15:$AA$32,MATCH($A14,ORÇAMENTO!$E$15:$E$32,0)))))</f>
        <v>0</v>
      </c>
      <c r="AB14">
        <f ca="1">IF($B14="Branco",0,IF($B14="Manual",QCI.OutrosManual,IF($B14="SemiAuto",0,INDEX(ORÇAMENTO!$AB$15:$AB$32,MATCH($A14,ORÇAMENTO!$E$15:$E$32,0)))))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74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74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15" t="s">
        <v>463</v>
      </c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</row>
    <row r="20" spans="4:15" ht="12.75" customHeight="1" x14ac:dyDescent="0.2"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</row>
    <row r="21" spans="4:15" ht="12.75" customHeight="1" x14ac:dyDescent="0.2"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</row>
    <row r="24" spans="4:15" ht="15" x14ac:dyDescent="0.2">
      <c r="D24" s="617" t="str">
        <f>Import.Município</f>
        <v>Caçapava do Sul/RS</v>
      </c>
      <c r="E24" s="617"/>
      <c r="F24" s="617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12">
        <f ca="1">DADOS!$F$25</f>
        <v>45545</v>
      </c>
      <c r="E27" s="612"/>
      <c r="F27" s="612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A10:A11"/>
    <mergeCell ref="Z10:AB10"/>
    <mergeCell ref="D27:F27"/>
    <mergeCell ref="D19:O21"/>
    <mergeCell ref="D24:F24"/>
    <mergeCell ref="D6:K6"/>
    <mergeCell ref="AD10:AE10"/>
    <mergeCell ref="K15:K16"/>
    <mergeCell ref="C7:C11"/>
    <mergeCell ref="G9:J10"/>
    <mergeCell ref="K9:K10"/>
    <mergeCell ref="AD9:AE9"/>
    <mergeCell ref="D7:K7"/>
    <mergeCell ref="D3:E3"/>
    <mergeCell ref="G3:I3"/>
    <mergeCell ref="J3:L3"/>
    <mergeCell ref="M3:O4"/>
    <mergeCell ref="D4:E4"/>
    <mergeCell ref="G4:I4"/>
    <mergeCell ref="J4:L4"/>
  </mergeCells>
  <phoneticPr fontId="38" type="noConversion"/>
  <conditionalFormatting sqref="T12:V12">
    <cfRule type="expression" dxfId="65" priority="161" stopIfTrue="1">
      <formula>OR($B12="Automático",$B12="Branco")</formula>
    </cfRule>
  </conditionalFormatting>
  <conditionalFormatting sqref="L12">
    <cfRule type="expression" dxfId="64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63" priority="163" stopIfTrue="1">
      <formula>OR($B12="Automático",$B12="Branco",$V12&lt;&gt;"Calculado")</formula>
    </cfRule>
  </conditionalFormatting>
  <conditionalFormatting sqref="M16">
    <cfRule type="expression" dxfId="62" priority="165" stopIfTrue="1">
      <formula>AND($G$9&lt;&gt;"",OR($M$16&lt;Import.CPMinPerc,$M$16&gt;Import.CPMaxPerc))</formula>
    </cfRule>
  </conditionalFormatting>
  <conditionalFormatting sqref="M15">
    <cfRule type="expression" dxfId="61" priority="166" stopIfTrue="1">
      <formula>AND($G$9&lt;&gt;"",$M$15&lt;Import.CPMinAbsoluta)</formula>
    </cfRule>
  </conditionalFormatting>
  <conditionalFormatting sqref="L10:M10">
    <cfRule type="cellIs" dxfId="60" priority="167" stopIfTrue="1" operator="lessThan">
      <formula>0</formula>
    </cfRule>
  </conditionalFormatting>
  <conditionalFormatting sqref="G12">
    <cfRule type="cellIs" dxfId="59" priority="168" stopIfTrue="1" operator="equal">
      <formula>"(digite a descrição aqui)"</formula>
    </cfRule>
  </conditionalFormatting>
  <conditionalFormatting sqref="T14:V14">
    <cfRule type="expression" dxfId="58" priority="1" stopIfTrue="1">
      <formula>OR($B14="Automático",$B14="Branco")</formula>
    </cfRule>
  </conditionalFormatting>
  <conditionalFormatting sqref="W14:X14">
    <cfRule type="expression" dxfId="57" priority="3" stopIfTrue="1">
      <formula>OR($B14="Automático",$B14="Branco",$V14&lt;&gt;"Calculado")</formula>
    </cfRule>
  </conditionalFormatting>
  <conditionalFormatting sqref="G14">
    <cfRule type="cellIs" dxfId="56" priority="4" stopIfTrue="1" operator="equal">
      <formula>"(digite a descrição aqui)"</formula>
    </cfRule>
  </conditionalFormatting>
  <conditionalFormatting sqref="L14">
    <cfRule type="expression" dxfId="55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4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39" sqref="A39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678" t="b">
        <v>0</v>
      </c>
      <c r="B3" s="678"/>
      <c r="E3" s="87"/>
    </row>
    <row r="4" spans="1:41" x14ac:dyDescent="0.2">
      <c r="D4" s="585" t="s">
        <v>149</v>
      </c>
      <c r="E4" s="585"/>
      <c r="F4" s="622" t="s">
        <v>147</v>
      </c>
      <c r="G4" s="622"/>
      <c r="H4" s="622"/>
      <c r="I4" s="151" t="s">
        <v>148</v>
      </c>
      <c r="J4" s="585" t="s">
        <v>204</v>
      </c>
      <c r="K4" s="585"/>
      <c r="L4" s="585"/>
      <c r="M4" s="585"/>
      <c r="N4" s="585"/>
      <c r="O4" s="153" t="s">
        <v>334</v>
      </c>
    </row>
    <row r="5" spans="1:41" ht="12.75" customHeight="1" x14ac:dyDescent="0.2">
      <c r="A5" t="s">
        <v>335</v>
      </c>
      <c r="D5" s="582" t="str">
        <f>Import.Proponente</f>
        <v>Prefeitura Municipal de Caçapava do Sul</v>
      </c>
      <c r="E5" s="582"/>
      <c r="F5" s="620">
        <f>Import.CR</f>
        <v>0</v>
      </c>
      <c r="G5" s="620"/>
      <c r="H5" s="620"/>
      <c r="I5" s="366">
        <f>Import.SICONV</f>
        <v>0</v>
      </c>
      <c r="J5" s="582" t="str">
        <f>Import.Apelido</f>
        <v>Calçamento da Rua Lino Azambuja</v>
      </c>
      <c r="K5" s="582"/>
      <c r="L5" s="582"/>
      <c r="M5" s="582"/>
      <c r="N5" s="582"/>
      <c r="O5" s="367">
        <f>Import.DataInicioObra</f>
        <v>45474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585" t="s">
        <v>339</v>
      </c>
      <c r="G7" s="585"/>
      <c r="H7" s="585"/>
      <c r="I7" s="585" t="str">
        <f>IF(TIPOORCAMENTO="Licitado","REGIME DE EXECUÇÃO","MUNICÍPIO / UF")</f>
        <v>MUNICÍPIO / UF</v>
      </c>
      <c r="J7" s="585"/>
      <c r="K7" s="585"/>
      <c r="L7" s="585"/>
      <c r="M7" s="585" t="s">
        <v>340</v>
      </c>
      <c r="N7" s="585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611" t="s">
        <v>211</v>
      </c>
      <c r="D8" s="370">
        <f>Import.CTEF</f>
        <v>0</v>
      </c>
      <c r="E8" s="57">
        <f>Import.empresa</f>
        <v>0</v>
      </c>
      <c r="F8" s="582">
        <f>Import.CNPJ</f>
        <v>0</v>
      </c>
      <c r="G8" s="582"/>
      <c r="H8" s="582"/>
      <c r="I8" s="582" t="str">
        <f>IF(TIPOORCAMENTO="Licitado",Import.RegimeExecução,Import.Município)</f>
        <v>Caçapava do Sul/RS</v>
      </c>
      <c r="J8" s="582"/>
      <c r="K8" s="582"/>
      <c r="L8" s="582"/>
      <c r="M8" s="582" t="str">
        <f ca="1">TEXT(IF(BM.medicao=1,Import.DataInicioObra,OFFSET($AB$12,0,BM.medicao-1-$AB$13)+1),"dd/mm/aaaa")&amp;" a "&amp;TEXT(OFFSET($AB$12,0,BM.medicao-$AB$13),"dd/mm/aaaa")</f>
        <v>01/07/2024 a 00/01/1900</v>
      </c>
      <c r="N8" s="582"/>
      <c r="O8" s="490">
        <v>1</v>
      </c>
    </row>
    <row r="9" spans="1:41" ht="12.75" customHeight="1" x14ac:dyDescent="0.2">
      <c r="A9" s="531" t="b">
        <v>1</v>
      </c>
      <c r="B9" s="43"/>
      <c r="C9" s="611"/>
    </row>
    <row r="10" spans="1:41" x14ac:dyDescent="0.2">
      <c r="C10" s="611"/>
      <c r="E10" s="679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79"/>
      <c r="G10" s="679"/>
      <c r="H10" s="679"/>
      <c r="I10" s="679"/>
      <c r="N10" s="680" t="str">
        <f ca="1">"Realizado Acumulado: "&amp;TEXT(ROUND($O$15/($I$15+10^-12),4),"0,00%")</f>
        <v>Realizado Acumulado: 0,00%</v>
      </c>
      <c r="O10" s="680"/>
    </row>
    <row r="11" spans="1:41" ht="15" customHeight="1" x14ac:dyDescent="0.25">
      <c r="C11" s="611"/>
      <c r="E11" s="679"/>
      <c r="F11" s="679"/>
      <c r="G11" s="679"/>
      <c r="H11" s="679"/>
      <c r="I11" s="679"/>
      <c r="N11" s="680"/>
      <c r="O11" s="680"/>
      <c r="T11" s="681" t="s">
        <v>343</v>
      </c>
      <c r="U11" s="681"/>
      <c r="Z11" s="4"/>
      <c r="AB11" s="657" t="s">
        <v>344</v>
      </c>
      <c r="AC11" s="657"/>
      <c r="AD11" s="657"/>
      <c r="AE11" s="657"/>
      <c r="AF11" s="657"/>
      <c r="AG11" s="657"/>
      <c r="AH11" s="657"/>
      <c r="AI11" s="657"/>
      <c r="AJ11" s="657"/>
      <c r="AK11" s="657"/>
      <c r="AL11" s="657"/>
      <c r="AM11" s="657"/>
    </row>
    <row r="12" spans="1:41" ht="15" customHeight="1" x14ac:dyDescent="0.25">
      <c r="C12" s="611"/>
      <c r="E12" s="85" t="s">
        <v>345</v>
      </c>
      <c r="J12" s="584" t="str">
        <f ca="1">"Evolução Física "&amp;CHOOSE(MATCH(RegimeExecucao,{"Unitário","Global"},0),"(Qtde.)","(%)")</f>
        <v>Evolução Física (%)</v>
      </c>
      <c r="K12" s="584"/>
      <c r="L12" s="584"/>
      <c r="M12" s="584" t="s">
        <v>346</v>
      </c>
      <c r="N12" s="584"/>
      <c r="O12" s="584"/>
      <c r="Q12" s="584" t="str">
        <f ca="1">"Aferido (CAIXA) "&amp;CHOOSE(MATCH(RegimeExecucao,{"Unitário","Global"},0),"(Qtde.)","(%)")</f>
        <v>Aferido (CAIXA) (%)</v>
      </c>
      <c r="R12" s="584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687" t="str">
        <f>"Objeto do CTEF: "&amp;Import.DescLote</f>
        <v>Objeto do CTEF: Lote Único - Empreitada Preço Global</v>
      </c>
      <c r="E15" s="687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IF(OR(ACOMPANHAMENTO="PLE",TIPOORCAMENTO="Proposto"),0,SUMIF(OFFSET($A15,1,0):$A$32,"S",OFFSET(M15,1,0):M$32))</f>
        <v>0</v>
      </c>
      <c r="N15" s="386">
        <f ca="1">O15-M15</f>
        <v>0</v>
      </c>
      <c r="O15" s="386">
        <f ca="1">IF(OR(ACOMPANHAMENTO="PLE",TIPOORCAMENTO="Proposto"),0,SUMIF(OFFSET($A15,1,0):$A$32,"S",OFFSET(O15,1,0):O$32))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683" t="str">
        <f ca="1">"Preencher abaixo com a "&amp;CHOOSE(MATCH(RegimeExecucao,{"Unitário","Global"},0),"QUANTIDADE","PORCENTAGEM")&amp;" executada no PERÍODO"</f>
        <v>Preencher abaixo com a PORCENTAGEM executada no PERÍODO</v>
      </c>
      <c r="AC15" s="683"/>
      <c r="AD15" s="683"/>
      <c r="AE15" s="683"/>
      <c r="AF15" s="683"/>
      <c r="AG15" s="683"/>
      <c r="AH15" s="683"/>
      <c r="AI15" s="683"/>
      <c r="AJ15" s="683"/>
      <c r="AK15" s="683"/>
      <c r="AL15" s="683"/>
      <c r="AM15" s="683"/>
    </row>
    <row r="16" spans="1:41" x14ac:dyDescent="0.2">
      <c r="A16">
        <f ca="1">ORÇAMENTO!C16</f>
        <v>1</v>
      </c>
      <c r="B16">
        <f ca="1">ORÇAMENTO!D16</f>
        <v>16</v>
      </c>
      <c r="C16" s="116" t="str">
        <f t="shared" ref="C16:C27" ca="1" si="1">IF(OR($I16&gt;0,$A16=1,$A16=2,$A16=3,$A16=4),"F","")</f>
        <v>F</v>
      </c>
      <c r="D16" s="119" t="str">
        <f ca="1">ORÇAMENTO!O16</f>
        <v>1.</v>
      </c>
      <c r="E16" s="171" t="str">
        <f t="shared" ref="E16:E27" si="2">ORÇAMENTO.Descricao</f>
        <v>CALÇAMENTO RUA LINO AZAMBUJA</v>
      </c>
      <c r="F16" s="172" t="str">
        <f t="shared" ref="F16:F27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27" ca="1" si="4">IF($A16="S",IF(CAIXA.Modo,BM.AFAnterior,BM.MEDAnterior),IF(AND(RegimeExecucao="Global",$I16&gt;0,COUNTIF($AB$13:$AM$13,BM.medicao-1)&gt;0),M16/$I16*100,0))</f>
        <v>0</v>
      </c>
      <c r="K16" s="124">
        <f t="shared" ref="K16:K27" ca="1" si="5">L16-J16</f>
        <v>0</v>
      </c>
      <c r="L16" s="378">
        <f t="shared" ref="L16:L27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27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27" ca="1" si="8">IF($W16&gt;0,$D16,"")</f>
        <v/>
      </c>
      <c r="U16" s="171" t="str">
        <f t="shared" ref="U16:U27" ca="1" si="9">IF($W16&gt;0,$E16,"")</f>
        <v/>
      </c>
      <c r="V16" s="172" t="str">
        <f t="shared" ref="V16:V27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27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2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>
        <f ca="1">ORÇAMENTO!C21</f>
        <v>2</v>
      </c>
      <c r="B21">
        <f ca="1">ORÇAMENTO!D21</f>
        <v>2</v>
      </c>
      <c r="C21" s="116" t="str">
        <f t="shared" ref="C21:C22" ca="1" si="12">IF(OR($I21&gt;0,$A21=1,$A21=2,$A21=3,$A21=4),"F","")</f>
        <v>F</v>
      </c>
      <c r="D21" s="119" t="str">
        <f ca="1">ORÇAMENTO!O21</f>
        <v>1.3.</v>
      </c>
      <c r="E21" s="171" t="str">
        <f>ORÇAMENTO.Descricao</f>
        <v>TERRAPLANAGEM</v>
      </c>
      <c r="F21" s="172" t="str">
        <f ca="1">IF(RegimeExecucao="Global","",ORÇAMENTO.Unidade)</f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ca="1">IF($A21="S",IF(CAIXA.Modo,BM.AFAnterior,BM.MEDAnterior),IF(AND(RegimeExecucao="Global",$I21&gt;0,COUNTIF($AB$13:$AM$13,BM.medicao-1)&gt;0),M21/$I21*100,0))</f>
        <v>0</v>
      </c>
      <c r="K21" s="124">
        <f t="shared" ref="K21:K22" ca="1" si="13">L21-J21</f>
        <v>0</v>
      </c>
      <c r="L21" s="378">
        <f ca="1">IF($A21="S",IF(CAIXA.Modo,BM.AFAcumulado,BM.MEDAcumulado),IF(AND(RegimeExecucao="Global",$I21&gt;0,COUNTIF($AB$13:$AM$13,BM.medicao)&gt;0),O21/$I21*100,0))</f>
        <v>0</v>
      </c>
      <c r="M21" s="379">
        <f ca="1">IF($A21="S",VTOTALBM,IF($A21=0,0,ROUND(SomaAgrupBM,15-13*ORÇAMENTO!$AF$11)))</f>
        <v>0</v>
      </c>
      <c r="N21" s="380">
        <f t="shared" ref="N21:N22" ca="1" si="14">O21-M21</f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ref="T21:T22" ca="1" si="15">IF($W21&gt;0,$D21,"")</f>
        <v/>
      </c>
      <c r="U21" s="171" t="str">
        <f t="shared" ref="U21:U22" ca="1" si="16">IF($W21&gt;0,$E21,"")</f>
        <v/>
      </c>
      <c r="V21" s="172" t="str">
        <f ca="1">IF(AND($W21&gt;0,RegimeExecucao="Unitário"),$F21,"")</f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ref="Y21:Y22" ca="1" si="17">AO21-O21</f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ht="25.5" x14ac:dyDescent="0.2">
      <c r="A22" t="str">
        <f ca="1">ORÇAMENTO!C22</f>
        <v>S</v>
      </c>
      <c r="B22">
        <f ca="1">ORÇAMENTO!D22</f>
        <v>0</v>
      </c>
      <c r="C22" s="116" t="str">
        <f t="shared" ca="1" si="12"/>
        <v/>
      </c>
      <c r="D22" s="119" t="str">
        <f ca="1">ORÇAMENTO!O22</f>
        <v>-</v>
      </c>
      <c r="E22" s="171" t="str">
        <f ca="1">ORÇAMENTO.Descricao</f>
        <v>(abra o arquivo 'Referência 04-2024.xls)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ca="1" si="13"/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ca="1" si="14"/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ca="1" si="15"/>
        <v/>
      </c>
      <c r="U22" s="171" t="str">
        <f t="shared" ca="1" si="16"/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ca="1" si="17"/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x14ac:dyDescent="0.2">
      <c r="A23">
        <f ca="1">ORÇAMENTO!C23</f>
        <v>2</v>
      </c>
      <c r="B23">
        <f ca="1">ORÇAMENTO!D23</f>
        <v>6</v>
      </c>
      <c r="C23" s="116" t="str">
        <f t="shared" ca="1" si="1"/>
        <v>F</v>
      </c>
      <c r="D23" s="119" t="str">
        <f ca="1">ORÇAMENTO!O23</f>
        <v>1.4.</v>
      </c>
      <c r="E23" s="171" t="str">
        <f t="shared" si="2"/>
        <v>PAVIMENTAÇÃO - PISTA</v>
      </c>
      <c r="F23" s="172" t="str">
        <f t="shared" ca="1" si="3"/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t="shared" ca="1" si="4"/>
        <v>0</v>
      </c>
      <c r="K23" s="124">
        <f t="shared" ca="1" si="5"/>
        <v>0</v>
      </c>
      <c r="L23" s="378">
        <f t="shared" ca="1" si="6"/>
        <v>0</v>
      </c>
      <c r="M23" s="379">
        <f ca="1">IF($A23="S",VTOTALBM,IF($A23=0,0,ROUND(SomaAgrupBM,15-13*ORÇAMENTO!$AF$11)))</f>
        <v>0</v>
      </c>
      <c r="N23" s="380">
        <f t="shared" ca="1" si="7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8"/>
        <v/>
      </c>
      <c r="U23" s="171" t="str">
        <f t="shared" ca="1" si="9"/>
        <v/>
      </c>
      <c r="V23" s="172" t="str">
        <f t="shared" ca="1" si="10"/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1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3</v>
      </c>
      <c r="B24">
        <f ca="1">ORÇAMENTO!D24</f>
        <v>5</v>
      </c>
      <c r="C24" s="116" t="str">
        <f ca="1">IF(OR($I24&gt;0,$A24=1,$A24=2,$A24=3,$A24=4),"F","")</f>
        <v>F</v>
      </c>
      <c r="D24" s="119" t="str">
        <f ca="1">ORÇAMENTO!O24</f>
        <v>1.4.1.</v>
      </c>
      <c r="E24" s="171" t="str">
        <f>ORÇAMENTO.Descricao</f>
        <v>Pavimentação da pista de rolamento com Paralelepípedo</v>
      </c>
      <c r="F24" s="172" t="str">
        <f ca="1">IF(RegimeExecucao="Global","",ORÇAMENTO.Unidade)</f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ca="1">IF($A24="S",IF(CAIXA.Modo,BM.AFAnterior,BM.MEDAnterior),IF(AND(RegimeExecucao="Global",$I24&gt;0,COUNTIF($AB$13:$AM$13,BM.medicao-1)&gt;0),M24/$I24*100,0))</f>
        <v>0</v>
      </c>
      <c r="K24" s="124">
        <f ca="1">L24-J24</f>
        <v>0</v>
      </c>
      <c r="L24" s="378">
        <f ca="1">IF($A24="S",IF(CAIXA.Modo,BM.AFAcumulado,BM.MEDAcumulado),IF(AND(RegimeExecucao="Global",$I24&gt;0,COUNTIF($AB$13:$AM$13,BM.medicao)&gt;0),O24/$I24*100,0))</f>
        <v>0</v>
      </c>
      <c r="M24" s="379">
        <f ca="1">IF($A24="S",VTOTALBM,IF($A24=0,0,ROUND(SomaAgrupBM,15-13*ORÇAMENTO!$AF$11)))</f>
        <v>0</v>
      </c>
      <c r="N24" s="380">
        <f ca="1">O24-M24</f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ca="1">IF($W24&gt;0,$D24,"")</f>
        <v/>
      </c>
      <c r="U24" s="171" t="str">
        <f ca="1">IF($W24&gt;0,$E24,"")</f>
        <v/>
      </c>
      <c r="V24" s="172" t="str">
        <f ca="1">IF(AND($W24&gt;0,RegimeExecucao="Unitário"),$F24,"")</f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ca="1">AO24-O24</f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ht="25.5" x14ac:dyDescent="0.2">
      <c r="A25" t="str">
        <f ca="1">ORÇAMENTO!C25</f>
        <v>S</v>
      </c>
      <c r="B25">
        <f ca="1">ORÇAMENTO!D25</f>
        <v>0</v>
      </c>
      <c r="C25" s="116" t="str">
        <f ca="1">IF(OR($I25&gt;0,$A25=1,$A25=2,$A25=3,$A25=4),"F","")</f>
        <v/>
      </c>
      <c r="D25" s="119" t="str">
        <f ca="1">ORÇAMENTO!O25</f>
        <v>-</v>
      </c>
      <c r="E25" s="171" t="str">
        <f ca="1">ORÇAMENTO.Descricao</f>
        <v>(abra o arquivo 'Referência 04-2024.xls)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38.25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04-2024.xls)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04-2024.xls)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s="577" customFormat="1" ht="38.25" x14ac:dyDescent="0.2">
      <c r="A28" s="577" t="str">
        <f ca="1">ORÇAMENTO!C28</f>
        <v>S</v>
      </c>
      <c r="B28" s="577">
        <f ca="1">ORÇAMENTO!D28</f>
        <v>0</v>
      </c>
      <c r="C28" s="116" t="str">
        <f ca="1">IF(OR($I28&gt;0,$A28=1,$A28=2,$A28=3,$A28=4),"F","")</f>
        <v/>
      </c>
      <c r="D28" s="119" t="str">
        <f ca="1">ORÇAMENTO!O28</f>
        <v>-</v>
      </c>
      <c r="E28" s="171" t="str">
        <f ca="1">ORÇAMENTO.Descricao</f>
        <v>(abra o arquivo 'Referência 04-2024.xls)</v>
      </c>
      <c r="F28" s="172" t="str">
        <f ca="1">IF(RegimeExecucao="Global","",ORÇAMENTO.Unidade)</f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ca="1">IF($A28="S",IF(CAIXA.Modo,BM.AFAnterior,BM.MEDAnterior),IF(AND(RegimeExecucao="Global",$I28&gt;0,COUNTIF($AB$13:$AM$13,BM.medicao-1)&gt;0),M28/$I28*100,0))</f>
        <v>0</v>
      </c>
      <c r="K28" s="124">
        <f ca="1">L28-J28</f>
        <v>0</v>
      </c>
      <c r="L28" s="378">
        <f ca="1">IF($A28="S",IF(CAIXA.Modo,BM.AFAcumulado,BM.MEDAcumulado),IF(AND(RegimeExecucao="Global",$I28&gt;0,COUNTIF($AB$13:$AM$13,BM.medicao)&gt;0),O28/$I28*100,0))</f>
        <v>0</v>
      </c>
      <c r="M28" s="379">
        <f ca="1">IF($A28="S",VTOTALBM,IF($A28=0,0,ROUND(SomaAgrupBM,15-13*ORÇAMENTO!$AF$11)))</f>
        <v>0</v>
      </c>
      <c r="N28" s="380">
        <f ca="1">O28-M28</f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ca="1">IF($W28&gt;0,$D28,"")</f>
        <v/>
      </c>
      <c r="U28" s="171" t="str">
        <f ca="1">IF($W28&gt;0,$E28,"")</f>
        <v/>
      </c>
      <c r="V28" s="172" t="str">
        <f ca="1">IF(AND($W28&gt;0,RegimeExecucao="Unitário"),$F28,"")</f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ca="1">AO28-O28</f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 s="577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2</v>
      </c>
      <c r="B29">
        <f ca="1">ORÇAMENTO!D29</f>
        <v>3</v>
      </c>
      <c r="C29" s="116" t="str">
        <f t="shared" ref="C29:C30" ca="1" si="18">IF(OR($I29&gt;0,$A29=1,$A29=2,$A29=3,$A29=4),"F","")</f>
        <v>F</v>
      </c>
      <c r="D29" s="119" t="str">
        <f ca="1">ORÇAMENTO!O29</f>
        <v>1.5.</v>
      </c>
      <c r="E29" s="171" t="str">
        <f t="shared" ref="E29:E30" si="19">ORÇAMENTO.Descricao</f>
        <v>SINALIZAÇÃO VERTICAL</v>
      </c>
      <c r="F29" s="172" t="str">
        <f t="shared" ref="F29:F30" ca="1" si="20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t="shared" ref="J29:J30" ca="1" si="21">IF($A29="S",IF(CAIXA.Modo,BM.AFAnterior,BM.MEDAnterior),IF(AND(RegimeExecucao="Global",$I29&gt;0,COUNTIF($AB$13:$AM$13,BM.medicao-1)&gt;0),M29/$I29*100,0))</f>
        <v>0</v>
      </c>
      <c r="K29" s="124">
        <f t="shared" ref="K29:K30" ca="1" si="22">L29-J29</f>
        <v>0</v>
      </c>
      <c r="L29" s="378">
        <f t="shared" ref="L29:L30" ca="1" si="23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t="shared" ref="N29:N30" ca="1" si="24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t="shared" ref="T29:T30" ca="1" si="25">IF($W29&gt;0,$D29,"")</f>
        <v/>
      </c>
      <c r="U29" s="171" t="str">
        <f t="shared" ref="U29:U30" ca="1" si="26">IF($W29&gt;0,$E29,"")</f>
        <v/>
      </c>
      <c r="V29" s="172" t="str">
        <f t="shared" ref="V29:V30" ca="1" si="27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t="shared" ref="Y29:Y30" ca="1" si="28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t="shared" ca="1" si="18"/>
        <v/>
      </c>
      <c r="D30" s="119" t="str">
        <f ca="1">ORÇAMENTO!O30</f>
        <v>-</v>
      </c>
      <c r="E30" s="171" t="str">
        <f t="shared" ca="1" si="19"/>
        <v>(abra o arquivo 'Referência 04-2024.xls)</v>
      </c>
      <c r="F30" s="172" t="str">
        <f t="shared" ca="1" si="20"/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t="shared" ca="1" si="21"/>
        <v>0</v>
      </c>
      <c r="K30" s="124">
        <f t="shared" ca="1" si="22"/>
        <v>0</v>
      </c>
      <c r="L30" s="378">
        <f t="shared" ca="1" si="23"/>
        <v>0</v>
      </c>
      <c r="M30" s="379">
        <f ca="1">IF($A30="S",VTOTALBM,IF($A30=0,0,ROUND(SomaAgrupBM,15-13*ORÇAMENTO!$AF$11)))</f>
        <v>0</v>
      </c>
      <c r="N30" s="380">
        <f t="shared" ca="1" si="24"/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t="shared" ca="1" si="25"/>
        <v/>
      </c>
      <c r="U30" s="171" t="str">
        <f t="shared" ca="1" si="26"/>
        <v/>
      </c>
      <c r="V30" s="172" t="str">
        <f t="shared" ca="1" si="27"/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t="shared" ca="1" si="28"/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s="575" customFormat="1" ht="25.5" x14ac:dyDescent="0.2">
      <c r="A31" s="575" t="str">
        <f ca="1">ORÇAMENTO!C31</f>
        <v>S</v>
      </c>
      <c r="B31" s="575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04-2024.xls)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 s="575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5.0999999999999996" customHeight="1" x14ac:dyDescent="0.2">
      <c r="C32" s="116" t="s">
        <v>248</v>
      </c>
      <c r="D32" s="484"/>
      <c r="E32" s="485"/>
      <c r="F32" s="485"/>
      <c r="G32" s="485"/>
      <c r="H32" s="485"/>
      <c r="I32" s="486"/>
      <c r="J32" s="484"/>
      <c r="K32" s="485"/>
      <c r="L32" s="486"/>
      <c r="M32" s="513"/>
      <c r="N32" s="514"/>
      <c r="O32" s="515"/>
      <c r="Q32" s="484"/>
      <c r="R32" s="486"/>
      <c r="T32" s="484"/>
      <c r="U32" s="485"/>
      <c r="V32" s="485"/>
      <c r="W32" s="485"/>
      <c r="X32" s="485"/>
      <c r="Y32" s="485"/>
      <c r="Z32" s="486"/>
      <c r="AB32" s="484"/>
      <c r="AC32" s="485"/>
      <c r="AD32" s="485"/>
      <c r="AE32" s="485"/>
      <c r="AF32" s="485"/>
      <c r="AG32" s="485"/>
      <c r="AH32" s="485"/>
      <c r="AI32" s="485"/>
      <c r="AJ32" s="485"/>
      <c r="AK32" s="485"/>
      <c r="AL32" s="485"/>
      <c r="AM32" s="486"/>
    </row>
    <row r="34" spans="4:26" ht="14.25" x14ac:dyDescent="0.2">
      <c r="D34" s="684" t="s">
        <v>189</v>
      </c>
      <c r="E34" s="684"/>
      <c r="F34" s="684"/>
      <c r="G34" s="684"/>
      <c r="H34" s="684"/>
      <c r="I34" s="684"/>
      <c r="J34" s="684"/>
      <c r="K34" s="684"/>
      <c r="L34" s="684"/>
      <c r="M34" s="684"/>
      <c r="N34" s="684"/>
      <c r="O34" s="684"/>
      <c r="T34" s="685" t="s">
        <v>355</v>
      </c>
      <c r="U34" s="685"/>
      <c r="V34" s="685"/>
      <c r="W34" s="685"/>
      <c r="X34" s="685"/>
      <c r="Y34" s="685"/>
      <c r="Z34" s="685"/>
    </row>
    <row r="35" spans="4:26" ht="12.75" customHeight="1" x14ac:dyDescent="0.2"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T35" s="686"/>
      <c r="U35" s="686"/>
      <c r="V35" s="686"/>
      <c r="W35" s="686"/>
      <c r="X35" s="686"/>
      <c r="Y35" s="686"/>
      <c r="Z35" s="686"/>
    </row>
    <row r="36" spans="4:26" ht="12.75" customHeight="1" x14ac:dyDescent="0.2">
      <c r="D36" s="615"/>
      <c r="E36" s="615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T36" s="686"/>
      <c r="U36" s="686"/>
      <c r="V36" s="686"/>
      <c r="W36" s="686"/>
      <c r="X36" s="686"/>
      <c r="Y36" s="686"/>
      <c r="Z36" s="686"/>
    </row>
    <row r="37" spans="4:26" ht="12.75" customHeight="1" x14ac:dyDescent="0.2">
      <c r="D37" s="615"/>
      <c r="E37" s="615"/>
      <c r="F37" s="615"/>
      <c r="G37" s="615"/>
      <c r="H37" s="615"/>
      <c r="I37" s="615"/>
      <c r="J37" s="615"/>
      <c r="K37" s="615"/>
      <c r="L37" s="615"/>
      <c r="M37" s="615"/>
      <c r="N37" s="615"/>
      <c r="O37" s="615"/>
      <c r="T37" s="686"/>
      <c r="U37" s="686"/>
      <c r="V37" s="686"/>
      <c r="W37" s="686"/>
      <c r="X37" s="686"/>
      <c r="Y37" s="686"/>
      <c r="Z37" s="686"/>
    </row>
    <row r="38" spans="4:26" ht="14.25" x14ac:dyDescent="0.2"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</row>
    <row r="39" spans="4:26" ht="15" customHeight="1" x14ac:dyDescent="0.25">
      <c r="D39" s="616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39" s="616"/>
      <c r="F39" s="616"/>
      <c r="G39" s="616"/>
      <c r="H39" s="616"/>
      <c r="I39" s="616"/>
      <c r="J39" s="616"/>
      <c r="K39" s="616"/>
      <c r="L39" s="616"/>
    </row>
    <row r="40" spans="4:26" x14ac:dyDescent="0.2">
      <c r="D40" s="682"/>
      <c r="E40" s="682"/>
      <c r="F40" s="682"/>
      <c r="G40" s="682"/>
      <c r="H40" s="682"/>
      <c r="I40" s="682"/>
    </row>
    <row r="41" spans="4:26" x14ac:dyDescent="0.2">
      <c r="D41" s="689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41" s="689"/>
      <c r="F41" s="689"/>
      <c r="G41" s="689"/>
      <c r="H41" s="689"/>
      <c r="I41" s="689"/>
      <c r="J41" s="689"/>
      <c r="K41" s="689"/>
      <c r="L41" s="689"/>
      <c r="M41" s="689"/>
      <c r="N41" s="689"/>
      <c r="O41" s="689"/>
    </row>
    <row r="42" spans="4:26" ht="39.950000000000003" customHeight="1" x14ac:dyDescent="0.2">
      <c r="E42" s="144" t="str">
        <f>Import.Município</f>
        <v>Caçapava do Sul/RS</v>
      </c>
      <c r="J42" s="690"/>
      <c r="K42" s="690"/>
      <c r="L42" s="690"/>
      <c r="M42" s="690"/>
      <c r="W42" s="690"/>
      <c r="X42" s="690"/>
      <c r="Y42" s="690"/>
      <c r="Z42" s="690"/>
    </row>
    <row r="43" spans="4:26" x14ac:dyDescent="0.2">
      <c r="E43" s="10" t="s">
        <v>190</v>
      </c>
      <c r="J43" s="194" t="s">
        <v>304</v>
      </c>
      <c r="W43" s="194" t="s">
        <v>356</v>
      </c>
    </row>
    <row r="44" spans="4:26" x14ac:dyDescent="0.2">
      <c r="J44" s="78" t="s">
        <v>109</v>
      </c>
      <c r="K44" s="311">
        <f t="array" ref="K44:K47">Import.RespFiscalização</f>
        <v>0</v>
      </c>
      <c r="L44" s="79"/>
      <c r="W44" s="78" t="s">
        <v>109</v>
      </c>
      <c r="X44" s="688"/>
      <c r="Y44" s="688"/>
      <c r="Z44" s="688"/>
    </row>
    <row r="45" spans="4:26" x14ac:dyDescent="0.2">
      <c r="E45" s="552">
        <f ca="1">DADOS!$F$47</f>
        <v>45545</v>
      </c>
      <c r="J45" s="78" t="s">
        <v>128</v>
      </c>
      <c r="K45" s="311">
        <v>0</v>
      </c>
      <c r="L45" s="79"/>
      <c r="W45" s="78" t="s">
        <v>357</v>
      </c>
      <c r="X45" s="688"/>
      <c r="Y45" s="688"/>
      <c r="Z45" s="688"/>
    </row>
    <row r="46" spans="4:26" x14ac:dyDescent="0.2">
      <c r="E46" s="146" t="s">
        <v>191</v>
      </c>
      <c r="J46" s="78" t="s">
        <v>110</v>
      </c>
      <c r="K46" s="311">
        <v>0</v>
      </c>
      <c r="L46" s="79"/>
      <c r="W46" s="78" t="s">
        <v>110</v>
      </c>
      <c r="X46" s="688"/>
      <c r="Y46" s="688"/>
      <c r="Z46" s="688"/>
    </row>
    <row r="47" spans="4:26" x14ac:dyDescent="0.2">
      <c r="J47" s="78" t="s">
        <v>111</v>
      </c>
      <c r="K47" s="13">
        <v>0</v>
      </c>
      <c r="W47" s="78"/>
      <c r="X47" s="13"/>
    </row>
  </sheetData>
  <sheetProtection password="BD1F" sheet="1" objects="1" scenarios="1" autoFilter="0"/>
  <autoFilter ref="C15:C32"/>
  <mergeCells count="35">
    <mergeCell ref="X46:Z46"/>
    <mergeCell ref="D41:O41"/>
    <mergeCell ref="J42:M42"/>
    <mergeCell ref="W42:Z42"/>
    <mergeCell ref="X44:Z44"/>
    <mergeCell ref="X45:Z45"/>
    <mergeCell ref="D39:L39"/>
    <mergeCell ref="D40:I40"/>
    <mergeCell ref="AB15:AM15"/>
    <mergeCell ref="D34:O34"/>
    <mergeCell ref="T34:Z34"/>
    <mergeCell ref="D35:O37"/>
    <mergeCell ref="T35:Z37"/>
    <mergeCell ref="D15:E15"/>
    <mergeCell ref="AB11:AM11"/>
    <mergeCell ref="J12:L12"/>
    <mergeCell ref="M12:O12"/>
    <mergeCell ref="Q12:R12"/>
    <mergeCell ref="F7:H7"/>
    <mergeCell ref="I7:L7"/>
    <mergeCell ref="M7:N7"/>
    <mergeCell ref="T11:U11"/>
    <mergeCell ref="C8:C12"/>
    <mergeCell ref="F8:H8"/>
    <mergeCell ref="I8:L8"/>
    <mergeCell ref="M8:N8"/>
    <mergeCell ref="E10:I11"/>
    <mergeCell ref="N10:O11"/>
    <mergeCell ref="D5:E5"/>
    <mergeCell ref="F5:H5"/>
    <mergeCell ref="J5:N5"/>
    <mergeCell ref="A3:B3"/>
    <mergeCell ref="D4:E4"/>
    <mergeCell ref="F4:H4"/>
    <mergeCell ref="J4:N4"/>
  </mergeCells>
  <phoneticPr fontId="38" type="noConversion"/>
  <conditionalFormatting sqref="D14:O14 T14:Z14 T23:Z23 D23:O23 D20:O20 T20:Z20 D26:O27 T26:Z27 D30:O30 T30:Z30">
    <cfRule type="expression" dxfId="54" priority="2778" stopIfTrue="1">
      <formula>OR(ACOMPANHAMENTO="PLE",TIPOORCAMENTO="Proposto",$L14&lt;0,AND($L14&gt;100,RegimeExecucao="Global"),$O14&gt;$I14,$O14&lt;0)</formula>
    </cfRule>
    <cfRule type="expression" dxfId="53" priority="2779" stopIfTrue="1">
      <formula>$A14=1</formula>
    </cfRule>
    <cfRule type="expression" dxfId="52" priority="2780" stopIfTrue="1">
      <formula>$A14&lt;&gt;"S"</formula>
    </cfRule>
  </conditionalFormatting>
  <conditionalFormatting sqref="Q14:R14 AB14:AM14 AB23:AM23 Q23:R23 Q20:R20 AB20:AM20 Q26:R27 AB26:AM27 Q30:R30 AB30:AM30">
    <cfRule type="expression" dxfId="51" priority="2781" stopIfTrue="1">
      <formula>$A14=1</formula>
    </cfRule>
    <cfRule type="expression" dxfId="50" priority="2782" stopIfTrue="1">
      <formula>$A14&lt;&gt;"S"</formula>
    </cfRule>
  </conditionalFormatting>
  <conditionalFormatting sqref="E2">
    <cfRule type="expression" dxfId="49" priority="2783" stopIfTrue="1">
      <formula>Import.RegimeExecução="(SELECIONAR)"</formula>
    </cfRule>
  </conditionalFormatting>
  <conditionalFormatting sqref="F13:H13">
    <cfRule type="expression" dxfId="48" priority="2784" stopIfTrue="1">
      <formula>RegimeExecucao="Global"</formula>
    </cfRule>
  </conditionalFormatting>
  <conditionalFormatting sqref="D15:O15">
    <cfRule type="expression" dxfId="47" priority="2785" stopIfTrue="1">
      <formula>OR(ACOMPANHAMENTO="PLE",TIPOORCAMENTO="Proposto")</formula>
    </cfRule>
  </conditionalFormatting>
  <conditionalFormatting sqref="D16:O16 T16:Z16 T19:Z19 D19:O19">
    <cfRule type="expression" dxfId="46" priority="636" stopIfTrue="1">
      <formula>OR(ACOMPANHAMENTO="PLE",TIPOORCAMENTO="Proposto",$L16&lt;0,AND($L16&gt;100,RegimeExecucao="Global"),$O16&gt;$I16,$O16&lt;0)</formula>
    </cfRule>
    <cfRule type="expression" dxfId="45" priority="637" stopIfTrue="1">
      <formula>$A16=1</formula>
    </cfRule>
    <cfRule type="expression" dxfId="44" priority="638" stopIfTrue="1">
      <formula>$A16&lt;&gt;"S"</formula>
    </cfRule>
  </conditionalFormatting>
  <conditionalFormatting sqref="Q16:R16 AB16:AM16 AB19:AM19 Q19:R19">
    <cfRule type="expression" dxfId="43" priority="639" stopIfTrue="1">
      <formula>$A16=1</formula>
    </cfRule>
    <cfRule type="expression" dxfId="42" priority="640" stopIfTrue="1">
      <formula>$A16&lt;&gt;"S"</formula>
    </cfRule>
  </conditionalFormatting>
  <conditionalFormatting sqref="D29:O29 T29:Z29">
    <cfRule type="expression" dxfId="41" priority="356" stopIfTrue="1">
      <formula>OR(ACOMPANHAMENTO="PLE",TIPOORCAMENTO="Proposto",$L29&lt;0,AND($L29&gt;100,RegimeExecucao="Global"),$O29&gt;$I29,$O29&lt;0)</formula>
    </cfRule>
    <cfRule type="expression" dxfId="40" priority="357" stopIfTrue="1">
      <formula>$A29=1</formula>
    </cfRule>
    <cfRule type="expression" dxfId="39" priority="358" stopIfTrue="1">
      <formula>$A29&lt;&gt;"S"</formula>
    </cfRule>
  </conditionalFormatting>
  <conditionalFormatting sqref="Q29:R29 AB29:AM29">
    <cfRule type="expression" dxfId="38" priority="359" stopIfTrue="1">
      <formula>$A29=1</formula>
    </cfRule>
    <cfRule type="expression" dxfId="37" priority="360" stopIfTrue="1">
      <formula>$A29&lt;&gt;"S"</formula>
    </cfRule>
  </conditionalFormatting>
  <conditionalFormatting sqref="D25:O25 T25:Z25">
    <cfRule type="expression" dxfId="36" priority="261" stopIfTrue="1">
      <formula>OR(ACOMPANHAMENTO="PLE",TIPOORCAMENTO="Proposto",$L25&lt;0,AND($L25&gt;100,RegimeExecucao="Global"),$O25&gt;$I25,$O25&lt;0)</formula>
    </cfRule>
    <cfRule type="expression" dxfId="35" priority="262" stopIfTrue="1">
      <formula>$A25=1</formula>
    </cfRule>
    <cfRule type="expression" dxfId="34" priority="263" stopIfTrue="1">
      <formula>$A25&lt;&gt;"S"</formula>
    </cfRule>
  </conditionalFormatting>
  <conditionalFormatting sqref="Q25:R25 AB25:AM25">
    <cfRule type="expression" dxfId="33" priority="264" stopIfTrue="1">
      <formula>$A25=1</formula>
    </cfRule>
    <cfRule type="expression" dxfId="32" priority="265" stopIfTrue="1">
      <formula>$A25&lt;&gt;"S"</formula>
    </cfRule>
  </conditionalFormatting>
  <conditionalFormatting sqref="D24:O24 T24:Z24">
    <cfRule type="expression" dxfId="31" priority="176" stopIfTrue="1">
      <formula>OR(ACOMPANHAMENTO="PLE",TIPOORCAMENTO="Proposto",$L24&lt;0,AND($L24&gt;100,RegimeExecucao="Global"),$O24&gt;$I24,$O24&lt;0)</formula>
    </cfRule>
    <cfRule type="expression" dxfId="30" priority="177" stopIfTrue="1">
      <formula>$A24=1</formula>
    </cfRule>
    <cfRule type="expression" dxfId="29" priority="178" stopIfTrue="1">
      <formula>$A24&lt;&gt;"S"</formula>
    </cfRule>
  </conditionalFormatting>
  <conditionalFormatting sqref="Q24:R24 AB24:AM24">
    <cfRule type="expression" dxfId="28" priority="179" stopIfTrue="1">
      <formula>$A24=1</formula>
    </cfRule>
    <cfRule type="expression" dxfId="27" priority="180" stopIfTrue="1">
      <formula>$A24&lt;&gt;"S"</formula>
    </cfRule>
  </conditionalFormatting>
  <conditionalFormatting sqref="D17:O18 T17:Z18">
    <cfRule type="expression" dxfId="26" priority="136" stopIfTrue="1">
      <formula>OR(ACOMPANHAMENTO="PLE",TIPOORCAMENTO="Proposto",$L17&lt;0,AND($L17&gt;100,RegimeExecucao="Global"),$O17&gt;$I17,$O17&lt;0)</formula>
    </cfRule>
    <cfRule type="expression" dxfId="25" priority="137" stopIfTrue="1">
      <formula>$A17=1</formula>
    </cfRule>
    <cfRule type="expression" dxfId="24" priority="138" stopIfTrue="1">
      <formula>$A17&lt;&gt;"S"</formula>
    </cfRule>
  </conditionalFormatting>
  <conditionalFormatting sqref="Q17:R18 AB17:AM18">
    <cfRule type="expression" dxfId="23" priority="139" stopIfTrue="1">
      <formula>$A17=1</formula>
    </cfRule>
    <cfRule type="expression" dxfId="22" priority="140" stopIfTrue="1">
      <formula>$A17&lt;&gt;"S"</formula>
    </cfRule>
  </conditionalFormatting>
  <conditionalFormatting sqref="D21:O22 T21:Z22">
    <cfRule type="expression" dxfId="21" priority="121" stopIfTrue="1">
      <formula>OR(ACOMPANHAMENTO="PLE",TIPOORCAMENTO="Proposto",$L21&lt;0,AND($L21&gt;100,RegimeExecucao="Global"),$O21&gt;$I21,$O21&lt;0)</formula>
    </cfRule>
    <cfRule type="expression" dxfId="20" priority="122" stopIfTrue="1">
      <formula>$A21=1</formula>
    </cfRule>
    <cfRule type="expression" dxfId="19" priority="123" stopIfTrue="1">
      <formula>$A21&lt;&gt;"S"</formula>
    </cfRule>
  </conditionalFormatting>
  <conditionalFormatting sqref="Q21:R22 AB21:AM22">
    <cfRule type="expression" dxfId="18" priority="124" stopIfTrue="1">
      <formula>$A21=1</formula>
    </cfRule>
    <cfRule type="expression" dxfId="17" priority="125" stopIfTrue="1">
      <formula>$A21&lt;&gt;"S"</formula>
    </cfRule>
  </conditionalFormatting>
  <conditionalFormatting sqref="D31:O31 T31:Z31">
    <cfRule type="expression" dxfId="16" priority="16" stopIfTrue="1">
      <formula>OR(ACOMPANHAMENTO="PLE",TIPOORCAMENTO="Proposto",$L31&lt;0,AND($L31&gt;100,RegimeExecucao="Global"),$O31&gt;$I31,$O31&lt;0)</formula>
    </cfRule>
    <cfRule type="expression" dxfId="15" priority="17" stopIfTrue="1">
      <formula>$A31=1</formula>
    </cfRule>
    <cfRule type="expression" dxfId="14" priority="18" stopIfTrue="1">
      <formula>$A31&lt;&gt;"S"</formula>
    </cfRule>
  </conditionalFormatting>
  <conditionalFormatting sqref="Q31:R31 AB31:AM31">
    <cfRule type="expression" dxfId="13" priority="19" stopIfTrue="1">
      <formula>$A31=1</formula>
    </cfRule>
    <cfRule type="expression" dxfId="12" priority="20" stopIfTrue="1">
      <formula>$A31&lt;&gt;"S"</formula>
    </cfRule>
  </conditionalFormatting>
  <conditionalFormatting sqref="D28:O28 T28:Z28">
    <cfRule type="expression" dxfId="11" priority="1" stopIfTrue="1">
      <formula>OR(ACOMPANHAMENTO="PLE",TIPOORCAMENTO="Proposto",$L28&lt;0,AND($L28&gt;100,RegimeExecucao="Global"),$O28&gt;$I28,$O28&lt;0)</formula>
    </cfRule>
    <cfRule type="expression" dxfId="10" priority="2" stopIfTrue="1">
      <formula>$A28=1</formula>
    </cfRule>
    <cfRule type="expression" dxfId="9" priority="3" stopIfTrue="1">
      <formula>$A28&lt;&gt;"S"</formula>
    </cfRule>
  </conditionalFormatting>
  <conditionalFormatting sqref="Q28:R28 AB28:AM28">
    <cfRule type="expression" dxfId="8" priority="4" stopIfTrue="1">
      <formula>$A28=1</formula>
    </cfRule>
    <cfRule type="expression" dxfId="7" priority="5" stopIfTrue="1">
      <formula>$A28&lt;&gt;"S"</formula>
    </cfRule>
  </conditionalFormatting>
  <dataValidations count="4">
    <dataValidation type="list" allowBlank="1" showErrorMessage="1" sqref="Z14 Z16:Z31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31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31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22" t="s">
        <v>149</v>
      </c>
      <c r="F3" s="622"/>
      <c r="G3" s="622"/>
      <c r="H3" s="622"/>
      <c r="I3" s="585" t="s">
        <v>147</v>
      </c>
      <c r="J3" s="585"/>
      <c r="K3" s="585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20" t="str">
        <f>Import.Proponente</f>
        <v>Prefeitura Municipal de Caçapava do Sul</v>
      </c>
      <c r="F4" s="620"/>
      <c r="G4" s="620"/>
      <c r="H4" s="620"/>
      <c r="I4" s="582">
        <f>Import.CR</f>
        <v>0</v>
      </c>
      <c r="J4" s="582"/>
      <c r="K4" s="582"/>
      <c r="L4" s="57">
        <f>Import.SICONV</f>
        <v>0</v>
      </c>
      <c r="M4" s="703" t="s">
        <v>309</v>
      </c>
      <c r="N4" s="704"/>
      <c r="O4" s="705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585" t="s">
        <v>204</v>
      </c>
      <c r="F6" s="585"/>
      <c r="G6" s="585"/>
      <c r="H6" s="585"/>
      <c r="I6" s="691" t="s">
        <v>308</v>
      </c>
      <c r="J6" s="691"/>
      <c r="K6" s="691"/>
      <c r="L6" s="691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611" t="s">
        <v>211</v>
      </c>
      <c r="E7" s="582" t="str">
        <f>Import.Apelido</f>
        <v>Calçamento da Rua Lino Azambuja</v>
      </c>
      <c r="F7" s="582"/>
      <c r="G7" s="582"/>
      <c r="H7" s="582"/>
      <c r="I7" s="692" t="str">
        <f>Import.Município</f>
        <v>Caçapava do Sul/RS</v>
      </c>
      <c r="J7" s="692"/>
      <c r="K7" s="692"/>
      <c r="L7" s="692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611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611"/>
      <c r="G9" s="693" t="s">
        <v>363</v>
      </c>
      <c r="H9" s="693"/>
      <c r="I9" s="693" t="s">
        <v>364</v>
      </c>
      <c r="J9" s="693"/>
      <c r="K9" s="401"/>
      <c r="L9" s="694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611"/>
      <c r="G10" s="584" t="e">
        <f ca="1">IF(J10="-","-",IF($P$15&lt;J10,"Atrasada",IF($P$15&gt;J10,"Adiantada","Normal")))</f>
        <v>#DIV/0!</v>
      </c>
      <c r="H10" s="584"/>
      <c r="I10" s="404">
        <f ca="1">DATE(YEAR($L$26),MONTH($L$26),1)</f>
        <v>45536</v>
      </c>
      <c r="J10" s="405" t="e">
        <f ca="1">IF($I$10&lt;DATE(YEAR(CRONO!$T$13),MONTH(CRONO!$T$13),1),0,IF($I$10&gt;CRONO!$AE$13,1,INDEX(CRONO!$S$38:$AG$38,MATCH(RRE!$I$10,CRONO!$S$13:$AG$13,0))))</f>
        <v>#DIV/0!</v>
      </c>
      <c r="K10" s="401"/>
      <c r="L10" s="694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695" t="s">
        <v>366</v>
      </c>
      <c r="AD10" s="695"/>
      <c r="AE10" s="695"/>
      <c r="AF10" s="695"/>
      <c r="AG10" s="695"/>
      <c r="AH10" s="695"/>
      <c r="AJ10" s="695" t="s">
        <v>4</v>
      </c>
      <c r="AK10" s="695"/>
      <c r="AL10" s="695"/>
      <c r="AM10" s="695"/>
      <c r="AN10" s="695"/>
      <c r="AO10" s="695"/>
    </row>
    <row r="11" spans="1:41" ht="20.100000000000001" customHeight="1" x14ac:dyDescent="0.2">
      <c r="D11" s="611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696" t="str">
        <f>IF(CAIXA.Modo,"Valores Aferidos (R$)","Valores Medidos (R$)")</f>
        <v>Valores Medidos (R$)</v>
      </c>
      <c r="Z11" s="696"/>
      <c r="AC11" s="697" t="s">
        <v>367</v>
      </c>
      <c r="AD11" s="697"/>
      <c r="AE11" s="697"/>
      <c r="AF11" s="697" t="s">
        <v>368</v>
      </c>
      <c r="AG11" s="697"/>
      <c r="AH11" s="697"/>
      <c r="AJ11" s="697" t="s">
        <v>367</v>
      </c>
      <c r="AK11" s="697"/>
      <c r="AL11" s="697"/>
      <c r="AM11" s="697" t="s">
        <v>368</v>
      </c>
      <c r="AN11" s="697"/>
      <c r="AO11" s="697"/>
    </row>
    <row r="12" spans="1:41" hidden="1" x14ac:dyDescent="0.2">
      <c r="A12" t="e">
        <f ca="1">MATCH(E12,ORÇAMENTO!$E$15:$E$32,0)-1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MATCH(E14,ORÇAMENTO!$E$15:$E$32,0)-1</f>
        <v>1</v>
      </c>
      <c r="B14">
        <f ca="1">IF(ISERROR($A14),NA(),OFFSET(ORÇAMENTO!$D$15,$A14,0))</f>
        <v>16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RUA LINO AZAMBUJA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12" t="s">
        <v>378</v>
      </c>
      <c r="K15" s="713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14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15" t="str">
        <f>IF(import.recurso="FGTS","Financiamento","Repasse")</f>
        <v>Repasse</v>
      </c>
      <c r="K16" s="716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14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17" t="s">
        <v>383</v>
      </c>
      <c r="K17" s="718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14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698" t="s">
        <v>360</v>
      </c>
      <c r="K18" s="699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14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00" t="s">
        <v>362</v>
      </c>
      <c r="K19" s="701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14"/>
      <c r="X19" s="358"/>
      <c r="Y19" s="360"/>
      <c r="Z19" s="361"/>
    </row>
    <row r="20" spans="4:30" x14ac:dyDescent="0.2">
      <c r="O20" s="702" t="e">
        <f ca="1">"Acumulado Anterior:  "&amp;TEXT($M$19/($L$19+10^-12),"0,00%")</f>
        <v>#DIV/0!</v>
      </c>
      <c r="P20" s="702"/>
    </row>
    <row r="21" spans="4:30" ht="14.25" x14ac:dyDescent="0.2">
      <c r="E21" s="141" t="s">
        <v>189</v>
      </c>
      <c r="P21" s="476"/>
    </row>
    <row r="22" spans="4:30" ht="12.75" customHeight="1" x14ac:dyDescent="0.2">
      <c r="E22" s="706"/>
      <c r="F22" s="707"/>
      <c r="G22" s="707"/>
      <c r="H22" s="707"/>
      <c r="I22" s="707"/>
      <c r="J22" s="707"/>
      <c r="K22" s="707"/>
      <c r="L22" s="707"/>
      <c r="M22" s="707"/>
      <c r="N22" s="707"/>
      <c r="O22" s="707"/>
      <c r="P22" s="708"/>
    </row>
    <row r="23" spans="4:30" ht="12.75" customHeight="1" x14ac:dyDescent="0.2">
      <c r="E23" s="706"/>
      <c r="F23" s="707"/>
      <c r="G23" s="707"/>
      <c r="H23" s="707"/>
      <c r="I23" s="707"/>
      <c r="J23" s="707"/>
      <c r="K23" s="707"/>
      <c r="L23" s="707"/>
      <c r="M23" s="707"/>
      <c r="N23" s="707"/>
      <c r="O23" s="707"/>
      <c r="P23" s="708"/>
      <c r="Y23" s="438"/>
      <c r="Z23" s="438"/>
    </row>
    <row r="24" spans="4:30" ht="12.75" customHeight="1" x14ac:dyDescent="0.2">
      <c r="E24" s="709"/>
      <c r="F24" s="710"/>
      <c r="G24" s="710"/>
      <c r="H24" s="710"/>
      <c r="I24" s="710"/>
      <c r="J24" s="710"/>
      <c r="K24" s="710"/>
      <c r="L24" s="710"/>
      <c r="M24" s="710"/>
      <c r="N24" s="710"/>
      <c r="O24" s="710"/>
      <c r="P24" s="711"/>
    </row>
    <row r="26" spans="4:30" ht="15" x14ac:dyDescent="0.2">
      <c r="E26" s="617" t="str">
        <f>Import.Município</f>
        <v>Caçapava do Sul/RS</v>
      </c>
      <c r="F26" s="617"/>
      <c r="G26" s="617"/>
      <c r="I26" s="439"/>
      <c r="L26" s="640">
        <f ca="1">DADOS!$F$25</f>
        <v>45545</v>
      </c>
      <c r="M26" s="640"/>
      <c r="N26" s="640"/>
      <c r="O26" s="640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689">
        <f>IF(CAIXA.Modo,BM!X44,DADOS!F50)</f>
        <v>0</v>
      </c>
      <c r="N31" s="689"/>
      <c r="O31" s="689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689">
        <f>IF(CAIXA.Modo,BM!X45,DADOS!F51)</f>
        <v>0</v>
      </c>
      <c r="N32" s="689"/>
      <c r="O32" s="689"/>
    </row>
    <row r="33" spans="5:15" x14ac:dyDescent="0.2">
      <c r="L33" s="78" t="s">
        <v>110</v>
      </c>
      <c r="M33" s="689">
        <f>IF(CAIXA.Modo,BM!X46,DADOS!F52)</f>
        <v>0</v>
      </c>
      <c r="N33" s="689"/>
      <c r="O33" s="689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88"/>
      <c r="G38" s="688"/>
      <c r="L38" s="78" t="s">
        <v>109</v>
      </c>
      <c r="M38" s="688"/>
      <c r="N38" s="688"/>
      <c r="O38" s="688"/>
    </row>
    <row r="39" spans="5:15" x14ac:dyDescent="0.2">
      <c r="E39" s="78" t="str">
        <f>IF(CAIXA.Modo,"Função:","Cargo:")</f>
        <v>Cargo:</v>
      </c>
      <c r="F39" s="688"/>
      <c r="G39" s="688"/>
      <c r="L39" s="78" t="str">
        <f>IF(CAIXA.Modo,"Função:","Cargo:")</f>
        <v>Cargo:</v>
      </c>
      <c r="M39" s="688"/>
      <c r="N39" s="688"/>
      <c r="O39" s="688"/>
    </row>
    <row r="40" spans="5:15" x14ac:dyDescent="0.2">
      <c r="E40" s="78" t="str">
        <f>IF(CAIXA.Modo,"Matr:","")</f>
        <v/>
      </c>
      <c r="F40" s="688"/>
      <c r="G40" s="688"/>
      <c r="L40" s="78" t="str">
        <f>IF(CAIXA.Modo,"Matrícula:","")</f>
        <v/>
      </c>
      <c r="M40" s="688"/>
      <c r="N40" s="688"/>
      <c r="O40" s="688"/>
    </row>
  </sheetData>
  <sheetProtection password="BD1F" sheet="1" objects="1" scenarios="1" autoFilter="0"/>
  <autoFilter ref="D13:D21"/>
  <mergeCells count="40"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  <mergeCell ref="J18:K18"/>
    <mergeCell ref="J19:K19"/>
    <mergeCell ref="O20:P20"/>
    <mergeCell ref="M39:O39"/>
    <mergeCell ref="AC10:AH10"/>
    <mergeCell ref="AJ10:AO10"/>
    <mergeCell ref="Y11:Z11"/>
    <mergeCell ref="AC11:AE11"/>
    <mergeCell ref="AF11:AH11"/>
    <mergeCell ref="AJ11:AL11"/>
    <mergeCell ref="AM11:AO11"/>
    <mergeCell ref="D7:D11"/>
    <mergeCell ref="E7:H7"/>
    <mergeCell ref="I7:L7"/>
    <mergeCell ref="G9:H9"/>
    <mergeCell ref="I9:J9"/>
    <mergeCell ref="L9:L10"/>
    <mergeCell ref="G10:H10"/>
    <mergeCell ref="E6:H6"/>
    <mergeCell ref="I6:L6"/>
    <mergeCell ref="E3:H3"/>
    <mergeCell ref="I3:K3"/>
    <mergeCell ref="E4:H4"/>
    <mergeCell ref="I4:K4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24"/>
      <c r="C1" s="724"/>
      <c r="D1" s="50"/>
      <c r="E1" s="50"/>
      <c r="F1" s="50"/>
      <c r="G1" s="53" t="s">
        <v>141</v>
      </c>
    </row>
    <row r="2" spans="2:17" x14ac:dyDescent="0.2">
      <c r="B2" s="724"/>
      <c r="C2" s="724"/>
      <c r="D2" s="50"/>
      <c r="E2" s="50"/>
      <c r="F2" s="50"/>
      <c r="G2" s="12" t="s">
        <v>384</v>
      </c>
    </row>
    <row r="3" spans="2:17" ht="26.1" customHeight="1" thickBot="1" x14ac:dyDescent="0.25">
      <c r="B3" s="724"/>
      <c r="C3" s="724"/>
      <c r="D3" s="50"/>
      <c r="E3" s="50"/>
      <c r="F3" s="50"/>
      <c r="G3" s="441"/>
      <c r="I3" s="442" t="s">
        <v>385</v>
      </c>
    </row>
    <row r="4" spans="2:17" ht="12.75" customHeight="1" x14ac:dyDescent="0.2">
      <c r="B4" s="724"/>
      <c r="C4" s="724"/>
      <c r="D4" s="50"/>
      <c r="E4" s="50"/>
      <c r="F4" s="50"/>
      <c r="G4" s="50"/>
      <c r="I4" s="725" t="s">
        <v>386</v>
      </c>
      <c r="J4" s="727" t="s">
        <v>387</v>
      </c>
      <c r="K4" s="727" t="s">
        <v>388</v>
      </c>
      <c r="L4" s="719" t="s">
        <v>389</v>
      </c>
    </row>
    <row r="5" spans="2:17" x14ac:dyDescent="0.2">
      <c r="I5" s="726"/>
      <c r="J5" s="728"/>
      <c r="K5" s="728"/>
      <c r="L5" s="720"/>
    </row>
    <row r="6" spans="2:17" x14ac:dyDescent="0.2">
      <c r="B6" s="443" t="s">
        <v>390</v>
      </c>
      <c r="C6" s="721"/>
      <c r="D6" s="721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22" t="str">
        <f ca="1">CONCATENATE(RRE!$E$26,", ",TEXT(RRE!$L$26,"dd"" de ""mmmm"" de ""aaaa"))</f>
        <v>Caçapava do Sul/RS, 10 de setembro de 2024</v>
      </c>
      <c r="C8" s="722"/>
      <c r="D8" s="722"/>
      <c r="E8" s="722"/>
      <c r="F8" s="722"/>
      <c r="G8" s="722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23" t="s">
        <v>392</v>
      </c>
      <c r="C10" s="723"/>
      <c r="D10" s="723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88"/>
      <c r="D11" s="688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23" t="str">
        <f ca="1">CONCATENATE(RRE.Numero,"ª"," Solicitação de ",IF(import.recurso="OGU","Desbloqueio","Desembolso")," de Recursos.")</f>
        <v>1ª Solicitação de Desbloqueio de Recursos.</v>
      </c>
      <c r="D14" s="723"/>
      <c r="E14" s="723"/>
      <c r="F14" s="723"/>
      <c r="G14" s="723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33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33"/>
      <c r="E15" s="733"/>
      <c r="F15" s="733"/>
      <c r="G15" s="733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33"/>
      <c r="D16" s="733"/>
      <c r="E16" s="733"/>
      <c r="F16" s="733"/>
      <c r="G16" s="733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29" t="str">
        <f>Import.DescLote</f>
        <v>Lote Único - Empreitada Preço Global</v>
      </c>
      <c r="D18" s="729"/>
      <c r="E18" s="729"/>
      <c r="F18" s="729"/>
      <c r="G18" s="729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31" t="s">
        <v>396</v>
      </c>
      <c r="C19" s="732" t="str">
        <f>Import.Proponente</f>
        <v>Prefeitura Municipal de Caçapava do Sul</v>
      </c>
      <c r="D19" s="732"/>
      <c r="E19" s="732"/>
      <c r="F19" s="732"/>
      <c r="G19" s="732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31"/>
      <c r="C20" s="732"/>
      <c r="D20" s="732"/>
      <c r="E20" s="732"/>
      <c r="F20" s="732"/>
      <c r="G20" s="732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29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29"/>
      <c r="D24" s="729"/>
      <c r="E24" s="729"/>
      <c r="F24" s="729"/>
      <c r="G24" s="729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29"/>
      <c r="C25" s="729"/>
      <c r="D25" s="729"/>
      <c r="E25" s="729"/>
      <c r="F25" s="729"/>
      <c r="G25" s="729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29"/>
      <c r="C26" s="729"/>
      <c r="D26" s="729"/>
      <c r="E26" s="729"/>
      <c r="F26" s="729"/>
      <c r="G26" s="729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30"/>
      <c r="C28" s="730"/>
      <c r="D28" s="734" t="s">
        <v>397</v>
      </c>
      <c r="E28" s="734" t="str">
        <f ca="1">"Evolução da "&amp;RRE.Numero&amp;"ª Medição"</f>
        <v>Evolução da 1ª Medição</v>
      </c>
      <c r="F28" s="735" t="s">
        <v>398</v>
      </c>
      <c r="G28" s="735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30"/>
      <c r="C29" s="730"/>
      <c r="D29" s="734"/>
      <c r="E29" s="734"/>
      <c r="F29" s="735"/>
      <c r="G29" s="735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36" t="str">
        <f>IF(import.recurso="FGTS","Financiamento:","Repasse:")</f>
        <v>Repasse:</v>
      </c>
      <c r="C30" s="736"/>
      <c r="D30" s="448">
        <f ca="1">RRE!L16</f>
        <v>0</v>
      </c>
      <c r="E30" s="448" t="e">
        <f ca="1">RRE!N16</f>
        <v>#DIV/0!</v>
      </c>
      <c r="F30" s="737" t="e">
        <f ca="1">RRE!O16</f>
        <v>#DIV/0!</v>
      </c>
      <c r="G30" s="737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36" t="s">
        <v>399</v>
      </c>
      <c r="C31" s="736"/>
      <c r="D31" s="448">
        <f ca="1">RRE!L17</f>
        <v>0</v>
      </c>
      <c r="E31" s="448" t="e">
        <f ca="1">RRE!N17</f>
        <v>#DIV/0!</v>
      </c>
      <c r="F31" s="737" t="e">
        <f ca="1">RRE!O17</f>
        <v>#DIV/0!</v>
      </c>
      <c r="G31" s="737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36" t="s">
        <v>287</v>
      </c>
      <c r="C32" s="736"/>
      <c r="D32" s="448">
        <f ca="1">RRE!L18</f>
        <v>0</v>
      </c>
      <c r="E32" s="448" t="e">
        <f ca="1">RRE!N18</f>
        <v>#DIV/0!</v>
      </c>
      <c r="F32" s="737" t="e">
        <f ca="1">RRE!O18</f>
        <v>#DIV/0!</v>
      </c>
      <c r="G32" s="737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36" t="s">
        <v>288</v>
      </c>
      <c r="C33" s="736"/>
      <c r="D33" s="448">
        <f ca="1">RRE!L19</f>
        <v>0</v>
      </c>
      <c r="E33" s="448" t="e">
        <f ca="1">RRE!N19</f>
        <v>#DIV/0!</v>
      </c>
      <c r="F33" s="737" t="e">
        <f ca="1">RRE!O19</f>
        <v>#DIV/0!</v>
      </c>
      <c r="G33" s="737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40" t="s">
        <v>400</v>
      </c>
      <c r="C34" s="740"/>
      <c r="D34" s="449" t="s">
        <v>168</v>
      </c>
      <c r="E34" s="450" t="e">
        <f ca="1">RRE!$N$19/(RRE!$L$19+10^-12)</f>
        <v>#DIV/0!</v>
      </c>
      <c r="F34" s="741" t="e">
        <f ca="1">RRE!P15</f>
        <v>#DIV/0!</v>
      </c>
      <c r="G34" s="741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42" t="str">
        <f ca="1">IF(RRE.Numero&gt;1,"2. Encaminhamos ainda a documentação relativa à prestação de contas da etapa físico-financeira anterior.","")</f>
        <v/>
      </c>
      <c r="C37" s="742"/>
      <c r="D37" s="742"/>
      <c r="E37" s="742"/>
      <c r="F37" s="742"/>
      <c r="G37" s="742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42"/>
      <c r="C38" s="742"/>
      <c r="D38" s="742"/>
      <c r="E38" s="742"/>
      <c r="F38" s="742"/>
      <c r="G38" s="742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42" t="str">
        <f ca="1">IF(AND(RRE.Numero&gt;1,NOT(ISBLANK(Import.SICONV))),"3. Na oportunidade, informamos que a execução financeira da parcela anterior está devidamente comprovada no SICONV.","")</f>
        <v/>
      </c>
      <c r="C39" s="742"/>
      <c r="D39" s="742"/>
      <c r="E39" s="742"/>
      <c r="F39" s="742"/>
      <c r="G39" s="742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42"/>
      <c r="C40" s="742"/>
      <c r="D40" s="742"/>
      <c r="E40" s="742"/>
      <c r="F40" s="742"/>
      <c r="G40" s="742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42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42"/>
      <c r="D42" s="742"/>
      <c r="E42" s="742"/>
      <c r="F42" s="742"/>
      <c r="G42" s="742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42"/>
      <c r="C43" s="742"/>
      <c r="D43" s="742"/>
      <c r="E43" s="742"/>
      <c r="F43" s="742"/>
      <c r="G43" s="742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42"/>
      <c r="C44" s="742"/>
      <c r="D44" s="742"/>
      <c r="E44" s="742"/>
      <c r="F44" s="742"/>
      <c r="G44" s="742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42"/>
      <c r="C45" s="742"/>
      <c r="D45" s="742"/>
      <c r="E45" s="742"/>
      <c r="F45" s="742"/>
      <c r="G45" s="742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42"/>
      <c r="C46" s="742"/>
      <c r="D46" s="742"/>
      <c r="E46" s="742"/>
      <c r="F46" s="742"/>
      <c r="G46" s="742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38" t="str">
        <f>DADOS!$F$28</f>
        <v>Giovani Amestoy da Silva</v>
      </c>
      <c r="C54" s="738"/>
      <c r="D54" s="738"/>
      <c r="E54" s="738"/>
      <c r="F54" s="738"/>
      <c r="G54" s="738"/>
    </row>
    <row r="55" spans="2:7" x14ac:dyDescent="0.2">
      <c r="B55" s="738" t="str">
        <f>DADOS!$F$29</f>
        <v>Prefeito Municipal</v>
      </c>
      <c r="C55" s="738"/>
      <c r="D55" s="738"/>
      <c r="E55" s="738"/>
      <c r="F55" s="738"/>
      <c r="G55" s="738"/>
    </row>
    <row r="56" spans="2:7" x14ac:dyDescent="0.2">
      <c r="B56" s="739"/>
      <c r="C56" s="739"/>
      <c r="D56" s="739"/>
      <c r="E56" s="739"/>
      <c r="F56" s="739"/>
      <c r="G56" s="739"/>
    </row>
  </sheetData>
  <sheetProtection password="BD1F" sheet="1" objects="1" scenarios="1" autoFilter="0"/>
  <mergeCells count="34">
    <mergeCell ref="B55:G56"/>
    <mergeCell ref="B33:C33"/>
    <mergeCell ref="F33:G33"/>
    <mergeCell ref="B34:C34"/>
    <mergeCell ref="F34:G34"/>
    <mergeCell ref="B37:G38"/>
    <mergeCell ref="B39:G40"/>
    <mergeCell ref="B42:G46"/>
    <mergeCell ref="B31:C31"/>
    <mergeCell ref="F31:G31"/>
    <mergeCell ref="B30:C30"/>
    <mergeCell ref="F30:G30"/>
    <mergeCell ref="B54:G54"/>
    <mergeCell ref="B32:C32"/>
    <mergeCell ref="F32:G32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L4:L5"/>
    <mergeCell ref="C6:D6"/>
    <mergeCell ref="B8:G8"/>
    <mergeCell ref="B10:D10"/>
    <mergeCell ref="B1:C4"/>
    <mergeCell ref="I4:I5"/>
    <mergeCell ref="J4:J5"/>
    <mergeCell ref="K4:K5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12" activePane="bottomLeft" state="frozen"/>
      <selection pane="bottomLeft" activeCell="AU32" sqref="AU32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581" t="s">
        <v>6</v>
      </c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80" t="s">
        <v>25</v>
      </c>
      <c r="F3" s="580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452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450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447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80" t="s">
        <v>103</v>
      </c>
      <c r="F15" s="580"/>
      <c r="J15" s="13" t="s">
        <v>20</v>
      </c>
    </row>
    <row r="16" spans="5:44" x14ac:dyDescent="0.2">
      <c r="E16" s="25" t="s">
        <v>104</v>
      </c>
      <c r="F16" s="26" t="s">
        <v>480</v>
      </c>
      <c r="J16" s="13" t="s">
        <v>21</v>
      </c>
    </row>
    <row r="17" spans="5:10" x14ac:dyDescent="0.2">
      <c r="E17" s="18" t="s">
        <v>105</v>
      </c>
      <c r="F17" s="27" t="s">
        <v>458</v>
      </c>
      <c r="J17" s="13" t="s">
        <v>22</v>
      </c>
    </row>
    <row r="18" spans="5:10" x14ac:dyDescent="0.2">
      <c r="E18" s="18" t="s">
        <v>106</v>
      </c>
      <c r="F18" s="28" t="s">
        <v>445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80" t="s">
        <v>108</v>
      </c>
      <c r="F21" s="580"/>
      <c r="J21" s="13"/>
    </row>
    <row r="22" spans="5:10" x14ac:dyDescent="0.2">
      <c r="E22" s="16" t="s">
        <v>109</v>
      </c>
      <c r="F22" s="32" t="s">
        <v>490</v>
      </c>
    </row>
    <row r="23" spans="5:10" x14ac:dyDescent="0.2">
      <c r="E23" s="18" t="s">
        <v>110</v>
      </c>
      <c r="F23" s="19" t="s">
        <v>491</v>
      </c>
    </row>
    <row r="24" spans="5:10" x14ac:dyDescent="0.2">
      <c r="E24" s="18" t="s">
        <v>111</v>
      </c>
      <c r="F24" s="19" t="s">
        <v>492</v>
      </c>
    </row>
    <row r="25" spans="5:10" x14ac:dyDescent="0.2">
      <c r="E25" s="22" t="s">
        <v>112</v>
      </c>
      <c r="F25" s="33">
        <f ca="1">TODAY()</f>
        <v>45545</v>
      </c>
    </row>
    <row r="27" spans="5:10" ht="15" x14ac:dyDescent="0.2">
      <c r="E27" s="580" t="s">
        <v>113</v>
      </c>
      <c r="F27" s="580"/>
    </row>
    <row r="28" spans="5:10" x14ac:dyDescent="0.2">
      <c r="E28" s="14" t="s">
        <v>109</v>
      </c>
      <c r="F28" s="34" t="s">
        <v>448</v>
      </c>
    </row>
    <row r="29" spans="5:10" x14ac:dyDescent="0.2">
      <c r="E29" s="22" t="s">
        <v>114</v>
      </c>
      <c r="F29" s="35" t="s">
        <v>449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80" t="s">
        <v>116</v>
      </c>
      <c r="F34" s="580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453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80" t="s">
        <v>124</v>
      </c>
      <c r="F45" s="580"/>
    </row>
    <row r="46" spans="5:6" x14ac:dyDescent="0.2">
      <c r="E46" s="14" t="s">
        <v>125</v>
      </c>
      <c r="F46" s="36">
        <v>45474</v>
      </c>
    </row>
    <row r="47" spans="5:6" x14ac:dyDescent="0.2">
      <c r="E47" s="29" t="s">
        <v>126</v>
      </c>
      <c r="F47" s="38">
        <f ca="1">TODAY()</f>
        <v>45545</v>
      </c>
    </row>
    <row r="48" spans="5:6" ht="15.75" x14ac:dyDescent="0.2">
      <c r="E48" s="8"/>
    </row>
    <row r="49" spans="5:6" ht="12.75" customHeight="1" x14ac:dyDescent="0.2">
      <c r="E49" s="580" t="s">
        <v>127</v>
      </c>
      <c r="F49" s="580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80" t="s">
        <v>132</v>
      </c>
      <c r="F58" s="580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302" priority="2" stopIfTrue="1">
      <formula>CAIXA.Modo=FALSE</formula>
    </cfRule>
  </conditionalFormatting>
  <conditionalFormatting sqref="E58:F60">
    <cfRule type="expression" dxfId="301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45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583" t="s">
        <v>141</v>
      </c>
      <c r="S1" s="583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584" t="s">
        <v>144</v>
      </c>
      <c r="S2" s="584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585" t="s">
        <v>147</v>
      </c>
      <c r="K4" s="585"/>
      <c r="L4" s="585" t="s">
        <v>148</v>
      </c>
      <c r="M4" s="585"/>
      <c r="N4" s="585" t="s">
        <v>149</v>
      </c>
      <c r="O4" s="585"/>
      <c r="P4" s="585"/>
      <c r="Q4" s="585"/>
      <c r="R4" s="585"/>
      <c r="S4" s="585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582">
        <f>Import.CR</f>
        <v>0</v>
      </c>
      <c r="K5" s="582"/>
      <c r="L5" s="582">
        <f>Import.SICONV</f>
        <v>0</v>
      </c>
      <c r="M5" s="582"/>
      <c r="N5" s="582" t="str">
        <f>Import.Proponente</f>
        <v>Prefeitura Municipal de Caçapava do Sul</v>
      </c>
      <c r="O5" s="582"/>
      <c r="P5" s="582"/>
      <c r="Q5" s="582"/>
      <c r="R5" s="582"/>
      <c r="S5" s="582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611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611"/>
      <c r="J7" s="585" t="s">
        <v>153</v>
      </c>
      <c r="K7" s="585"/>
      <c r="L7" s="585"/>
      <c r="M7" s="585"/>
      <c r="N7" s="585"/>
      <c r="O7" s="585"/>
      <c r="P7" s="585"/>
      <c r="Q7" s="585"/>
      <c r="R7" s="585"/>
      <c r="S7" s="585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611"/>
      <c r="J8" s="591" t="str">
        <f>Import.Apelido&amp;" / "&amp;Import.DescLote</f>
        <v>Calçamento da Rua Lino Azambuja / Lote Único - Empreitada Preço Global</v>
      </c>
      <c r="K8" s="591"/>
      <c r="L8" s="591"/>
      <c r="M8" s="591"/>
      <c r="N8" s="591"/>
      <c r="O8" s="591"/>
      <c r="P8" s="591"/>
      <c r="Q8" s="591"/>
      <c r="R8" s="591"/>
      <c r="S8" s="591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611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611"/>
      <c r="J10" s="592" t="s">
        <v>155</v>
      </c>
      <c r="K10" s="592"/>
      <c r="L10" s="592"/>
      <c r="M10" s="592"/>
      <c r="N10" s="592"/>
      <c r="O10" s="592"/>
      <c r="P10" s="592"/>
      <c r="Q10" s="592"/>
      <c r="R10" s="590">
        <v>1</v>
      </c>
      <c r="S10" s="590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589" t="s">
        <v>156</v>
      </c>
      <c r="K11" s="589"/>
      <c r="L11" s="589"/>
      <c r="M11" s="589"/>
      <c r="N11" s="589"/>
      <c r="O11" s="589"/>
      <c r="P11" s="589"/>
      <c r="Q11" s="589"/>
      <c r="R11" s="590">
        <v>0.03</v>
      </c>
      <c r="S11" s="590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603" t="s">
        <v>158</v>
      </c>
      <c r="K14" s="603"/>
      <c r="L14" s="603"/>
      <c r="M14" s="603"/>
      <c r="N14" s="603"/>
      <c r="O14" s="603"/>
      <c r="P14" s="603"/>
      <c r="Q14" s="603"/>
      <c r="R14" s="603"/>
      <c r="S14" s="603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585" t="s">
        <v>159</v>
      </c>
      <c r="K16" s="585"/>
      <c r="L16" s="585"/>
      <c r="M16" s="585"/>
      <c r="N16" s="585"/>
      <c r="O16" s="585"/>
      <c r="P16" s="585"/>
      <c r="Q16" s="585"/>
      <c r="R16" s="585"/>
      <c r="S16" s="585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595" t="s">
        <v>154</v>
      </c>
      <c r="K17" s="595"/>
      <c r="L17" s="595"/>
      <c r="M17" s="595"/>
      <c r="N17" s="595"/>
      <c r="O17" s="595"/>
      <c r="P17" s="595"/>
      <c r="Q17" s="595"/>
      <c r="R17" s="595"/>
      <c r="S17" s="595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588" t="s">
        <v>160</v>
      </c>
      <c r="K19" s="588"/>
      <c r="L19" s="588"/>
      <c r="M19" s="588"/>
      <c r="N19" s="588"/>
      <c r="O19" s="588"/>
      <c r="P19" s="588"/>
      <c r="Q19" s="588"/>
      <c r="R19" s="588" t="s">
        <v>161</v>
      </c>
      <c r="S19" s="587" t="s">
        <v>162</v>
      </c>
      <c r="U19" s="587" t="s">
        <v>163</v>
      </c>
      <c r="V19" s="587"/>
      <c r="W19" s="587"/>
      <c r="X19" s="586" t="s">
        <v>164</v>
      </c>
      <c r="Y19" s="586" t="s">
        <v>165</v>
      </c>
      <c r="Z19" s="586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588"/>
      <c r="K20" s="588"/>
      <c r="L20" s="588"/>
      <c r="M20" s="588"/>
      <c r="N20" s="588"/>
      <c r="O20" s="588"/>
      <c r="P20" s="588"/>
      <c r="Q20" s="588"/>
      <c r="R20" s="588"/>
      <c r="S20" s="587"/>
      <c r="U20" s="587"/>
      <c r="V20" s="587"/>
      <c r="W20" s="587"/>
      <c r="X20" s="586"/>
      <c r="Y20" s="586"/>
      <c r="Z20" s="586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593" t="str">
        <f>IF($J$17=$A$146,"Encargos Sociais incidentes sobre a mão de obra","Administração Central")</f>
        <v>Administração Central</v>
      </c>
      <c r="K21" s="593"/>
      <c r="L21" s="593"/>
      <c r="M21" s="593"/>
      <c r="N21" s="593"/>
      <c r="O21" s="593"/>
      <c r="P21" s="593"/>
      <c r="Q21" s="593"/>
      <c r="R21" s="61" t="str">
        <f>IF($J17=$A$146,"K1","AC")</f>
        <v>AC</v>
      </c>
      <c r="S21" s="62">
        <v>4.0099999999999997E-2</v>
      </c>
      <c r="U21" s="594" t="s">
        <v>168</v>
      </c>
      <c r="V21" s="594"/>
      <c r="W21" s="594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593" t="str">
        <f>IF($J$17=$A$146,"Administração Central da empresa ou consultoria - overhead","Seguro e Garantia")</f>
        <v>Seguro e Garantia</v>
      </c>
      <c r="K22" s="593"/>
      <c r="L22" s="593"/>
      <c r="M22" s="593"/>
      <c r="N22" s="593"/>
      <c r="O22" s="593"/>
      <c r="P22" s="593"/>
      <c r="Q22" s="593"/>
      <c r="R22" s="61" t="str">
        <f>IF($J17=$A$146,"K2","SG")</f>
        <v>SG</v>
      </c>
      <c r="S22" s="62">
        <v>7.4000000000000003E-3</v>
      </c>
      <c r="U22" s="594" t="s">
        <v>168</v>
      </c>
      <c r="V22" s="594"/>
      <c r="W22" s="594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593" t="str">
        <f>IF($J$17=$A$146,"","Risco")</f>
        <v>Risco</v>
      </c>
      <c r="K23" s="593"/>
      <c r="L23" s="593"/>
      <c r="M23" s="593"/>
      <c r="N23" s="593"/>
      <c r="O23" s="593"/>
      <c r="P23" s="593"/>
      <c r="Q23" s="593"/>
      <c r="R23" s="61" t="str">
        <f>IF($J17=$A$146,"","R")</f>
        <v>R</v>
      </c>
      <c r="S23" s="62">
        <v>9.7000000000000003E-3</v>
      </c>
      <c r="U23" s="594" t="s">
        <v>168</v>
      </c>
      <c r="V23" s="594"/>
      <c r="W23" s="594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593" t="str">
        <f>IF($J$17=$A$146,"","Despesas Financeiras")</f>
        <v>Despesas Financeiras</v>
      </c>
      <c r="K24" s="593"/>
      <c r="L24" s="593"/>
      <c r="M24" s="593"/>
      <c r="N24" s="593"/>
      <c r="O24" s="593"/>
      <c r="P24" s="593"/>
      <c r="Q24" s="593"/>
      <c r="R24" s="61" t="str">
        <f>IF($J17=$A$146,"","DF")</f>
        <v>DF</v>
      </c>
      <c r="S24" s="62">
        <v>1.11E-2</v>
      </c>
      <c r="U24" s="594" t="s">
        <v>168</v>
      </c>
      <c r="V24" s="594"/>
      <c r="W24" s="594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593" t="str">
        <f>IF($J$17=$A$146,"Margem bruta da empresa de consultoria","Lucro")</f>
        <v>Lucro</v>
      </c>
      <c r="K25" s="593"/>
      <c r="L25" s="593"/>
      <c r="M25" s="593"/>
      <c r="N25" s="593"/>
      <c r="O25" s="593"/>
      <c r="P25" s="593"/>
      <c r="Q25" s="593"/>
      <c r="R25" s="61" t="str">
        <f>IF($J17=$A$146,"K3","L")</f>
        <v>L</v>
      </c>
      <c r="S25" s="62">
        <v>7.2999999999999995E-2</v>
      </c>
      <c r="U25" s="594" t="s">
        <v>168</v>
      </c>
      <c r="V25" s="594"/>
      <c r="W25" s="594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593" t="s">
        <v>170</v>
      </c>
      <c r="K26" s="593"/>
      <c r="L26" s="593"/>
      <c r="M26" s="593"/>
      <c r="N26" s="593"/>
      <c r="O26" s="593"/>
      <c r="P26" s="593"/>
      <c r="Q26" s="593"/>
      <c r="R26" s="61" t="s">
        <v>171</v>
      </c>
      <c r="S26" s="62">
        <v>3.6499999999999998E-2</v>
      </c>
      <c r="U26" s="594" t="s">
        <v>168</v>
      </c>
      <c r="V26" s="594"/>
      <c r="W26" s="594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593" t="s">
        <v>172</v>
      </c>
      <c r="K27" s="593"/>
      <c r="L27" s="593"/>
      <c r="M27" s="593"/>
      <c r="N27" s="593"/>
      <c r="O27" s="593"/>
      <c r="P27" s="593"/>
      <c r="Q27" s="593"/>
      <c r="R27" s="61" t="s">
        <v>173</v>
      </c>
      <c r="S27" s="63">
        <f ca="1">IF(AND($J17&lt;&gt;$A$145,COUNTA(OFFSET(S20,1,0,6))&gt;0),$R$11*$R$10,0)</f>
        <v>0.03</v>
      </c>
      <c r="U27" s="594" t="s">
        <v>168</v>
      </c>
      <c r="V27" s="594"/>
      <c r="W27" s="594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593" t="s">
        <v>174</v>
      </c>
      <c r="K28" s="593"/>
      <c r="L28" s="593"/>
      <c r="M28" s="593"/>
      <c r="N28" s="593"/>
      <c r="O28" s="593"/>
      <c r="P28" s="593"/>
      <c r="Q28" s="593"/>
      <c r="R28" s="61" t="s">
        <v>175</v>
      </c>
      <c r="S28" s="63">
        <f ca="1">IF(BDI.Opcao&lt;&gt;"Desonerado",0,IF(AND($J17&lt;&gt;$A$145,COUNTA(OFFSET(S20,1,0,6))&gt;0),4.5%,0%))</f>
        <v>0</v>
      </c>
      <c r="U28" s="594" t="s">
        <v>168</v>
      </c>
      <c r="V28" s="594"/>
      <c r="W28" s="594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593" t="s">
        <v>176</v>
      </c>
      <c r="K29" s="593"/>
      <c r="L29" s="593"/>
      <c r="M29" s="593"/>
      <c r="N29" s="593"/>
      <c r="O29" s="593"/>
      <c r="P29" s="593"/>
      <c r="Q29" s="593"/>
      <c r="R29" s="65" t="s">
        <v>152</v>
      </c>
      <c r="S29" s="63">
        <f ca="1">IF($J17=$A$145,0,ROUND((((1+S21+S22+S23)*(1+S24)*(1+S25)/(1-(S26+S27)))-1),4))</f>
        <v>0.22869999999999999</v>
      </c>
      <c r="U29" s="587" t="str">
        <f ca="1">IF(OR($J$17=$A$146,$J$17=$A$145,AND(S29&gt;=X29,S29&lt;=Z29)),"OK","FORA DO INTERVALO")</f>
        <v>OK</v>
      </c>
      <c r="V29" s="587"/>
      <c r="W29" s="587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598" t="s">
        <v>177</v>
      </c>
      <c r="K30" s="598"/>
      <c r="L30" s="598"/>
      <c r="M30" s="598"/>
      <c r="N30" s="598"/>
      <c r="O30" s="598"/>
      <c r="P30" s="598"/>
      <c r="Q30" s="598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599" t="str">
        <f ca="1">IF(U29&lt;&gt;"ok","Anexo: Relatório Técnico Circunstanciado justificando a adoção do percentual de cada parcela do BDI.","")</f>
        <v/>
      </c>
      <c r="L32" s="599"/>
      <c r="M32" s="599"/>
      <c r="N32" s="599"/>
      <c r="O32" s="599"/>
      <c r="P32" s="599"/>
      <c r="Q32" s="599"/>
      <c r="R32" s="599"/>
      <c r="S32" s="599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600" t="s">
        <v>180</v>
      </c>
      <c r="K34" s="600"/>
      <c r="L34" s="600"/>
      <c r="M34" s="600"/>
      <c r="N34" s="600"/>
      <c r="O34" s="600"/>
      <c r="P34" s="600"/>
      <c r="Q34" s="600"/>
      <c r="R34" s="600"/>
      <c r="S34" s="600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601" t="s">
        <v>181</v>
      </c>
      <c r="N35" s="608" t="str">
        <f>IF($J17=$A$146,"(1+K1+K2)*(1+K3)","(1+AC + S + R + G)*(1 + DF)*(1+L)")</f>
        <v>(1+AC + S + R + G)*(1 + DF)*(1+L)</v>
      </c>
      <c r="O35" s="608"/>
      <c r="P35" s="608"/>
      <c r="Q35" s="609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601"/>
      <c r="N36" s="596" t="s">
        <v>183</v>
      </c>
      <c r="O36" s="596"/>
      <c r="P36" s="596"/>
      <c r="Q36" s="609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59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597"/>
      <c r="L38" s="597"/>
      <c r="M38" s="597"/>
      <c r="N38" s="597"/>
      <c r="O38" s="597"/>
      <c r="P38" s="597"/>
      <c r="Q38" s="597"/>
      <c r="R38" s="597"/>
      <c r="S38" s="597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59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597"/>
      <c r="L40" s="597"/>
      <c r="M40" s="597"/>
      <c r="N40" s="597"/>
      <c r="O40" s="597"/>
      <c r="P40" s="597"/>
      <c r="Q40" s="597"/>
      <c r="R40" s="597"/>
      <c r="S40" s="597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610" t="s">
        <v>469</v>
      </c>
      <c r="K43" s="610"/>
      <c r="L43" s="610"/>
      <c r="M43" s="610"/>
      <c r="N43" s="610"/>
      <c r="O43" s="610"/>
      <c r="P43" s="610"/>
      <c r="Q43" s="610"/>
      <c r="R43" s="610"/>
      <c r="S43" s="610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604" t="str">
        <f>Import.Município</f>
        <v>Caçapava do Sul/RS</v>
      </c>
      <c r="K45" s="604"/>
      <c r="L45" s="604"/>
      <c r="M45" s="604"/>
      <c r="P45" s="605">
        <f ca="1">DADOS!$F$25</f>
        <v>45545</v>
      </c>
      <c r="Q45" s="605"/>
      <c r="R45" s="605"/>
      <c r="S45" s="605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606" t="s">
        <v>190</v>
      </c>
      <c r="K46" s="606"/>
      <c r="L46" s="606"/>
      <c r="M46" s="606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607"/>
      <c r="K48" s="607"/>
      <c r="L48" s="607"/>
      <c r="M48" s="607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602" t="s">
        <v>192</v>
      </c>
      <c r="K49" s="602"/>
      <c r="L49" s="602"/>
      <c r="M49" s="602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Fernando Cesar Nubias Pereira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 A - 228673-4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13882809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603" t="s">
        <v>193</v>
      </c>
      <c r="K54" s="603"/>
      <c r="L54" s="603"/>
      <c r="M54" s="603"/>
      <c r="N54" s="603"/>
      <c r="O54" s="603"/>
      <c r="P54" s="603"/>
      <c r="Q54" s="603"/>
      <c r="R54" s="603"/>
      <c r="S54" s="603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585" t="s">
        <v>159</v>
      </c>
      <c r="K56" s="585"/>
      <c r="L56" s="585"/>
      <c r="M56" s="585"/>
      <c r="N56" s="585"/>
      <c r="O56" s="585"/>
      <c r="P56" s="585"/>
      <c r="Q56" s="585"/>
      <c r="R56" s="585"/>
      <c r="S56" s="585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595" t="s">
        <v>410</v>
      </c>
      <c r="K57" s="595"/>
      <c r="L57" s="595"/>
      <c r="M57" s="595"/>
      <c r="N57" s="595"/>
      <c r="O57" s="595"/>
      <c r="P57" s="595"/>
      <c r="Q57" s="595"/>
      <c r="R57" s="595"/>
      <c r="S57" s="595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588" t="s">
        <v>160</v>
      </c>
      <c r="K59" s="588"/>
      <c r="L59" s="588"/>
      <c r="M59" s="588"/>
      <c r="N59" s="588"/>
      <c r="O59" s="588"/>
      <c r="P59" s="588"/>
      <c r="Q59" s="588"/>
      <c r="R59" s="588" t="s">
        <v>161</v>
      </c>
      <c r="S59" s="587" t="s">
        <v>162</v>
      </c>
      <c r="U59" s="587" t="s">
        <v>163</v>
      </c>
      <c r="V59" s="587"/>
      <c r="W59" s="587"/>
      <c r="X59" s="586" t="s">
        <v>164</v>
      </c>
      <c r="Y59" s="586" t="s">
        <v>165</v>
      </c>
      <c r="Z59" s="586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588"/>
      <c r="K60" s="588"/>
      <c r="L60" s="588"/>
      <c r="M60" s="588"/>
      <c r="N60" s="588"/>
      <c r="O60" s="588"/>
      <c r="P60" s="588"/>
      <c r="Q60" s="588"/>
      <c r="R60" s="588"/>
      <c r="S60" s="587"/>
      <c r="U60" s="587"/>
      <c r="V60" s="587"/>
      <c r="W60" s="587"/>
      <c r="X60" s="586"/>
      <c r="Y60" s="586"/>
      <c r="Z60" s="586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593" t="str">
        <f>IF($J$17=$A$146,"Encargos Sociais incidentes sobre a mão de obra","Administração Central")</f>
        <v>Administração Central</v>
      </c>
      <c r="K61" s="593"/>
      <c r="L61" s="593"/>
      <c r="M61" s="593"/>
      <c r="N61" s="593"/>
      <c r="O61" s="593"/>
      <c r="P61" s="593"/>
      <c r="Q61" s="593"/>
      <c r="R61" s="61" t="str">
        <f>IF($J57=$A$146,"K1","AC")</f>
        <v>AC</v>
      </c>
      <c r="S61" s="62"/>
      <c r="U61" s="594" t="s">
        <v>168</v>
      </c>
      <c r="V61" s="594"/>
      <c r="W61" s="594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593" t="str">
        <f>IF($J$17=$A$146,"Administração Central da empresa ou consultoria - overhead","Seguro e Garantia")</f>
        <v>Seguro e Garantia</v>
      </c>
      <c r="K62" s="593"/>
      <c r="L62" s="593"/>
      <c r="M62" s="593"/>
      <c r="N62" s="593"/>
      <c r="O62" s="593"/>
      <c r="P62" s="593"/>
      <c r="Q62" s="593"/>
      <c r="R62" s="61" t="str">
        <f>IF($J57=$A$146,"K2","SG")</f>
        <v>SG</v>
      </c>
      <c r="S62" s="62"/>
      <c r="U62" s="594" t="s">
        <v>168</v>
      </c>
      <c r="V62" s="594"/>
      <c r="W62" s="594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593" t="str">
        <f>IF($J$17=$A$146,"","Risco")</f>
        <v>Risco</v>
      </c>
      <c r="K63" s="593"/>
      <c r="L63" s="593"/>
      <c r="M63" s="593"/>
      <c r="N63" s="593"/>
      <c r="O63" s="593"/>
      <c r="P63" s="593"/>
      <c r="Q63" s="593"/>
      <c r="R63" s="61" t="str">
        <f>IF($J57=$A$146,"","R")</f>
        <v>R</v>
      </c>
      <c r="S63" s="62"/>
      <c r="U63" s="594" t="s">
        <v>168</v>
      </c>
      <c r="V63" s="594"/>
      <c r="W63" s="594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593" t="str">
        <f>IF($J$17=$A$146,"","Despesas Financeiras")</f>
        <v>Despesas Financeiras</v>
      </c>
      <c r="K64" s="593"/>
      <c r="L64" s="593"/>
      <c r="M64" s="593"/>
      <c r="N64" s="593"/>
      <c r="O64" s="593"/>
      <c r="P64" s="593"/>
      <c r="Q64" s="593"/>
      <c r="R64" s="61" t="str">
        <f>IF($J57=$A$146,"","DF")</f>
        <v>DF</v>
      </c>
      <c r="S64" s="62"/>
      <c r="U64" s="594" t="s">
        <v>168</v>
      </c>
      <c r="V64" s="594"/>
      <c r="W64" s="594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593" t="str">
        <f>IF($J$17=$A$146,"Margem bruta da empresa de consultoria","Lucro")</f>
        <v>Lucro</v>
      </c>
      <c r="K65" s="593"/>
      <c r="L65" s="593"/>
      <c r="M65" s="593"/>
      <c r="N65" s="593"/>
      <c r="O65" s="593"/>
      <c r="P65" s="593"/>
      <c r="Q65" s="593"/>
      <c r="R65" s="61" t="str">
        <f>IF($J57=$A$146,"K3","L")</f>
        <v>L</v>
      </c>
      <c r="S65" s="62"/>
      <c r="U65" s="594" t="s">
        <v>168</v>
      </c>
      <c r="V65" s="594"/>
      <c r="W65" s="594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593" t="s">
        <v>170</v>
      </c>
      <c r="K66" s="593"/>
      <c r="L66" s="593"/>
      <c r="M66" s="593"/>
      <c r="N66" s="593"/>
      <c r="O66" s="593"/>
      <c r="P66" s="593"/>
      <c r="Q66" s="593"/>
      <c r="R66" s="61" t="s">
        <v>171</v>
      </c>
      <c r="S66" s="62"/>
      <c r="U66" s="594" t="s">
        <v>168</v>
      </c>
      <c r="V66" s="594"/>
      <c r="W66" s="594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593" t="s">
        <v>172</v>
      </c>
      <c r="K67" s="593"/>
      <c r="L67" s="593"/>
      <c r="M67" s="593"/>
      <c r="N67" s="593"/>
      <c r="O67" s="593"/>
      <c r="P67" s="593"/>
      <c r="Q67" s="593"/>
      <c r="R67" s="61" t="s">
        <v>173</v>
      </c>
      <c r="S67" s="63">
        <f ca="1">IF(AND($J57&lt;&gt;$A$145,COUNTA(OFFSET(S60,1,0,6))&gt;0),$R$11*$R$10,0)</f>
        <v>0</v>
      </c>
      <c r="U67" s="594" t="s">
        <v>168</v>
      </c>
      <c r="V67" s="594"/>
      <c r="W67" s="594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593" t="s">
        <v>174</v>
      </c>
      <c r="K68" s="593"/>
      <c r="L68" s="593"/>
      <c r="M68" s="593"/>
      <c r="N68" s="593"/>
      <c r="O68" s="593"/>
      <c r="P68" s="593"/>
      <c r="Q68" s="593"/>
      <c r="R68" s="61" t="s">
        <v>175</v>
      </c>
      <c r="S68" s="63">
        <f ca="1">IF(BDI.Opcao&lt;&gt;"Desonerado",0,IF(AND($J57&lt;&gt;$A$145,COUNTA(OFFSET(S60,1,0,6))&gt;0),4.5%,0%))</f>
        <v>0</v>
      </c>
      <c r="U68" s="594" t="s">
        <v>168</v>
      </c>
      <c r="V68" s="594"/>
      <c r="W68" s="594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593" t="s">
        <v>176</v>
      </c>
      <c r="K69" s="593"/>
      <c r="L69" s="593"/>
      <c r="M69" s="593"/>
      <c r="N69" s="593"/>
      <c r="O69" s="593"/>
      <c r="P69" s="593"/>
      <c r="Q69" s="593"/>
      <c r="R69" s="65" t="s">
        <v>152</v>
      </c>
      <c r="S69" s="63">
        <f ca="1">IF($J57=$A$145,0,ROUND((((1+S61+S62+S63)*(1+S64)*(1+S65)/(1-(S66+S67)))-1),4))</f>
        <v>0</v>
      </c>
      <c r="U69" s="587" t="e">
        <f ca="1">IF(OR($J$17=$A$146,$J$17=$A$145,AND(S69&gt;=X69,S69&lt;=Z69)),"OK","FORA DO INTERVALO")</f>
        <v>#N/A</v>
      </c>
      <c r="V69" s="587"/>
      <c r="W69" s="587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598" t="s">
        <v>177</v>
      </c>
      <c r="K70" s="598"/>
      <c r="L70" s="598"/>
      <c r="M70" s="598"/>
      <c r="N70" s="598"/>
      <c r="O70" s="598"/>
      <c r="P70" s="598"/>
      <c r="Q70" s="598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599" t="e">
        <f ca="1">IF(U69&lt;&gt;"ok","Anexo: Relatório Técnico Circunstanciado justificando a adoção do percentual de cada parcela do BDI.","")</f>
        <v>#N/A</v>
      </c>
      <c r="L72" s="599"/>
      <c r="M72" s="599"/>
      <c r="N72" s="599"/>
      <c r="O72" s="599"/>
      <c r="P72" s="599"/>
      <c r="Q72" s="599"/>
      <c r="R72" s="599"/>
      <c r="S72" s="599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600" t="s">
        <v>180</v>
      </c>
      <c r="K74" s="600"/>
      <c r="L74" s="600"/>
      <c r="M74" s="600"/>
      <c r="N74" s="600"/>
      <c r="O74" s="600"/>
      <c r="P74" s="600"/>
      <c r="Q74" s="600"/>
      <c r="R74" s="600"/>
      <c r="S74" s="600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601" t="s">
        <v>181</v>
      </c>
      <c r="N75" s="608" t="str">
        <f>IF($J57=$A$146,"(1+K1+K2)*(1+K3)","(1+AC + S + R + G)*(1 + DF)*(1+L)")</f>
        <v>(1+AC + S + R + G)*(1 + DF)*(1+L)</v>
      </c>
      <c r="O75" s="608"/>
      <c r="P75" s="608"/>
      <c r="Q75" s="609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601"/>
      <c r="N76" s="596" t="s">
        <v>183</v>
      </c>
      <c r="O76" s="596"/>
      <c r="P76" s="596"/>
      <c r="Q76" s="609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59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597"/>
      <c r="L78" s="597"/>
      <c r="M78" s="597"/>
      <c r="N78" s="597"/>
      <c r="O78" s="597"/>
      <c r="P78" s="597"/>
      <c r="Q78" s="597"/>
      <c r="R78" s="597"/>
      <c r="S78" s="597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59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597"/>
      <c r="L80" s="597"/>
      <c r="M80" s="597"/>
      <c r="N80" s="597"/>
      <c r="O80" s="597"/>
      <c r="P80" s="597"/>
      <c r="Q80" s="597"/>
      <c r="R80" s="597"/>
      <c r="S80" s="597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610"/>
      <c r="K83" s="610"/>
      <c r="L83" s="610"/>
      <c r="M83" s="610"/>
      <c r="N83" s="610"/>
      <c r="O83" s="610"/>
      <c r="P83" s="610"/>
      <c r="Q83" s="610"/>
      <c r="R83" s="610"/>
      <c r="S83" s="610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604" t="str">
        <f>Import.Município</f>
        <v>Caçapava do Sul/RS</v>
      </c>
      <c r="K85" s="604"/>
      <c r="L85" s="604"/>
      <c r="M85" s="604"/>
      <c r="P85" s="605">
        <f ca="1">DADOS!$F$25</f>
        <v>45545</v>
      </c>
      <c r="Q85" s="605"/>
      <c r="R85" s="605"/>
      <c r="S85" s="605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606" t="s">
        <v>190</v>
      </c>
      <c r="K86" s="606"/>
      <c r="L86" s="606"/>
      <c r="M86" s="606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607"/>
      <c r="K88" s="607"/>
      <c r="L88" s="607"/>
      <c r="M88" s="607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602" t="s">
        <v>192</v>
      </c>
      <c r="K89" s="602"/>
      <c r="L89" s="602"/>
      <c r="M89" s="602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Fernando Cesar Nubias Pereira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 A - 228673-4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13882809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603" t="s">
        <v>194</v>
      </c>
      <c r="K94" s="603"/>
      <c r="L94" s="603"/>
      <c r="M94" s="603"/>
      <c r="N94" s="603"/>
      <c r="O94" s="603"/>
      <c r="P94" s="603"/>
      <c r="Q94" s="603"/>
      <c r="R94" s="603"/>
      <c r="S94" s="603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585" t="s">
        <v>159</v>
      </c>
      <c r="K96" s="585"/>
      <c r="L96" s="585"/>
      <c r="M96" s="585"/>
      <c r="N96" s="585"/>
      <c r="O96" s="585"/>
      <c r="P96" s="585"/>
      <c r="Q96" s="585"/>
      <c r="R96" s="585"/>
      <c r="S96" s="585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595" t="s">
        <v>410</v>
      </c>
      <c r="K97" s="595"/>
      <c r="L97" s="595"/>
      <c r="M97" s="595"/>
      <c r="N97" s="595"/>
      <c r="O97" s="595"/>
      <c r="P97" s="595"/>
      <c r="Q97" s="595"/>
      <c r="R97" s="595"/>
      <c r="S97" s="595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588" t="s">
        <v>160</v>
      </c>
      <c r="K99" s="588"/>
      <c r="L99" s="588"/>
      <c r="M99" s="588"/>
      <c r="N99" s="588"/>
      <c r="O99" s="588"/>
      <c r="P99" s="588"/>
      <c r="Q99" s="588"/>
      <c r="R99" s="588" t="s">
        <v>161</v>
      </c>
      <c r="S99" s="587" t="s">
        <v>162</v>
      </c>
      <c r="U99" s="587" t="s">
        <v>163</v>
      </c>
      <c r="V99" s="587"/>
      <c r="W99" s="587"/>
      <c r="X99" s="586" t="s">
        <v>164</v>
      </c>
      <c r="Y99" s="586" t="s">
        <v>165</v>
      </c>
      <c r="Z99" s="586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588"/>
      <c r="K100" s="588"/>
      <c r="L100" s="588"/>
      <c r="M100" s="588"/>
      <c r="N100" s="588"/>
      <c r="O100" s="588"/>
      <c r="P100" s="588"/>
      <c r="Q100" s="588"/>
      <c r="R100" s="588"/>
      <c r="S100" s="587"/>
      <c r="U100" s="587"/>
      <c r="V100" s="587"/>
      <c r="W100" s="587"/>
      <c r="X100" s="586"/>
      <c r="Y100" s="586"/>
      <c r="Z100" s="586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593" t="str">
        <f>IF($J$17=$A$146,"Encargos Sociais incidentes sobre a mão de obra","Administração Central")</f>
        <v>Administração Central</v>
      </c>
      <c r="K101" s="593"/>
      <c r="L101" s="593"/>
      <c r="M101" s="593"/>
      <c r="N101" s="593"/>
      <c r="O101" s="593"/>
      <c r="P101" s="593"/>
      <c r="Q101" s="593"/>
      <c r="R101" s="61" t="str">
        <f>IF($J97=$A$146,"K1","AC")</f>
        <v>AC</v>
      </c>
      <c r="S101" s="62"/>
      <c r="U101" s="594" t="s">
        <v>168</v>
      </c>
      <c r="V101" s="594"/>
      <c r="W101" s="594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593" t="str">
        <f>IF($J$17=$A$146,"Administração Central da empresa ou consultoria - overhead","Seguro e Garantia")</f>
        <v>Seguro e Garantia</v>
      </c>
      <c r="K102" s="593"/>
      <c r="L102" s="593"/>
      <c r="M102" s="593"/>
      <c r="N102" s="593"/>
      <c r="O102" s="593"/>
      <c r="P102" s="593"/>
      <c r="Q102" s="593"/>
      <c r="R102" s="61" t="str">
        <f>IF($J97=$A$146,"K2","SG")</f>
        <v>SG</v>
      </c>
      <c r="S102" s="62"/>
      <c r="U102" s="594" t="s">
        <v>168</v>
      </c>
      <c r="V102" s="594"/>
      <c r="W102" s="594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593" t="str">
        <f>IF($J$17=$A$146,"","Risco")</f>
        <v>Risco</v>
      </c>
      <c r="K103" s="593"/>
      <c r="L103" s="593"/>
      <c r="M103" s="593"/>
      <c r="N103" s="593"/>
      <c r="O103" s="593"/>
      <c r="P103" s="593"/>
      <c r="Q103" s="593"/>
      <c r="R103" s="61" t="str">
        <f>IF($J97=$A$146,"","R")</f>
        <v>R</v>
      </c>
      <c r="S103" s="62"/>
      <c r="U103" s="594" t="s">
        <v>168</v>
      </c>
      <c r="V103" s="594"/>
      <c r="W103" s="594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593" t="str">
        <f>IF($J$17=$A$146,"","Despesas Financeiras")</f>
        <v>Despesas Financeiras</v>
      </c>
      <c r="K104" s="593"/>
      <c r="L104" s="593"/>
      <c r="M104" s="593"/>
      <c r="N104" s="593"/>
      <c r="O104" s="593"/>
      <c r="P104" s="593"/>
      <c r="Q104" s="593"/>
      <c r="R104" s="61" t="str">
        <f>IF($J97=$A$146,"","DF")</f>
        <v>DF</v>
      </c>
      <c r="S104" s="62"/>
      <c r="U104" s="594" t="s">
        <v>168</v>
      </c>
      <c r="V104" s="594"/>
      <c r="W104" s="594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593" t="str">
        <f>IF($J$17=$A$146,"Margem bruta da empresa de consultoria","Lucro")</f>
        <v>Lucro</v>
      </c>
      <c r="K105" s="593"/>
      <c r="L105" s="593"/>
      <c r="M105" s="593"/>
      <c r="N105" s="593"/>
      <c r="O105" s="593"/>
      <c r="P105" s="593"/>
      <c r="Q105" s="593"/>
      <c r="R105" s="61" t="str">
        <f>IF($J97=$A$146,"K3","L")</f>
        <v>L</v>
      </c>
      <c r="S105" s="62"/>
      <c r="U105" s="594" t="s">
        <v>168</v>
      </c>
      <c r="V105" s="594"/>
      <c r="W105" s="594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593" t="s">
        <v>170</v>
      </c>
      <c r="K106" s="593"/>
      <c r="L106" s="593"/>
      <c r="M106" s="593"/>
      <c r="N106" s="593"/>
      <c r="O106" s="593"/>
      <c r="P106" s="593"/>
      <c r="Q106" s="593"/>
      <c r="R106" s="61" t="s">
        <v>171</v>
      </c>
      <c r="S106" s="62"/>
      <c r="U106" s="594" t="s">
        <v>168</v>
      </c>
      <c r="V106" s="594"/>
      <c r="W106" s="594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593" t="s">
        <v>172</v>
      </c>
      <c r="K107" s="593"/>
      <c r="L107" s="593"/>
      <c r="M107" s="593"/>
      <c r="N107" s="593"/>
      <c r="O107" s="593"/>
      <c r="P107" s="593"/>
      <c r="Q107" s="593"/>
      <c r="R107" s="61" t="s">
        <v>173</v>
      </c>
      <c r="S107" s="63">
        <f ca="1">IF(AND($J97&lt;&gt;$A$145,COUNTA(OFFSET(S100,1,0,6))&gt;0),$R$11*$R$10,0)</f>
        <v>0</v>
      </c>
      <c r="U107" s="594" t="s">
        <v>168</v>
      </c>
      <c r="V107" s="594"/>
      <c r="W107" s="594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593" t="s">
        <v>174</v>
      </c>
      <c r="K108" s="593"/>
      <c r="L108" s="593"/>
      <c r="M108" s="593"/>
      <c r="N108" s="593"/>
      <c r="O108" s="593"/>
      <c r="P108" s="593"/>
      <c r="Q108" s="593"/>
      <c r="R108" s="61" t="s">
        <v>175</v>
      </c>
      <c r="S108" s="63">
        <f ca="1">IF(BDI.Opcao&lt;&gt;"Desonerado",0,IF(AND($J97&lt;&gt;$A$145,COUNTA(OFFSET(S100,1,0,6))&gt;0),4.5%,0%))</f>
        <v>0</v>
      </c>
      <c r="U108" s="594" t="s">
        <v>168</v>
      </c>
      <c r="V108" s="594"/>
      <c r="W108" s="594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593" t="s">
        <v>176</v>
      </c>
      <c r="K109" s="593"/>
      <c r="L109" s="593"/>
      <c r="M109" s="593"/>
      <c r="N109" s="593"/>
      <c r="O109" s="593"/>
      <c r="P109" s="593"/>
      <c r="Q109" s="593"/>
      <c r="R109" s="65" t="s">
        <v>152</v>
      </c>
      <c r="S109" s="63">
        <f ca="1">IF($J97=$A$145,0,ROUND((((1+S101+S102+S103)*(1+S104)*(1+S105)/(1-(S106+S107)))-1),4))</f>
        <v>0</v>
      </c>
      <c r="U109" s="587" t="e">
        <f ca="1">IF(OR($J$17=$A$146,$J$17=$A$145,AND(S109&gt;=X109,S109&lt;=Z109)),"OK","FORA DO INTERVALO")</f>
        <v>#N/A</v>
      </c>
      <c r="V109" s="587"/>
      <c r="W109" s="587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598" t="s">
        <v>177</v>
      </c>
      <c r="K110" s="598"/>
      <c r="L110" s="598"/>
      <c r="M110" s="598"/>
      <c r="N110" s="598"/>
      <c r="O110" s="598"/>
      <c r="P110" s="598"/>
      <c r="Q110" s="598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599" t="e">
        <f ca="1">IF(U109&lt;&gt;"ok","Anexo: Relatório Técnico Circunstanciado justificando a adoção do percentual de cada parcela do BDI.","")</f>
        <v>#N/A</v>
      </c>
      <c r="L112" s="599"/>
      <c r="M112" s="599"/>
      <c r="N112" s="599"/>
      <c r="O112" s="599"/>
      <c r="P112" s="599"/>
      <c r="Q112" s="599"/>
      <c r="R112" s="599"/>
      <c r="S112" s="599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600" t="s">
        <v>180</v>
      </c>
      <c r="K114" s="600"/>
      <c r="L114" s="600"/>
      <c r="M114" s="600"/>
      <c r="N114" s="600"/>
      <c r="O114" s="600"/>
      <c r="P114" s="600"/>
      <c r="Q114" s="600"/>
      <c r="R114" s="600"/>
      <c r="S114" s="600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601" t="s">
        <v>181</v>
      </c>
      <c r="N115" s="608" t="str">
        <f>IF($J97=$A$146,"(1+K1+K2)*(1+K3)","(1+AC + S + R + G)*(1 + DF)*(1+L)")</f>
        <v>(1+AC + S + R + G)*(1 + DF)*(1+L)</v>
      </c>
      <c r="O115" s="608"/>
      <c r="P115" s="608"/>
      <c r="Q115" s="609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601"/>
      <c r="N116" s="596" t="s">
        <v>183</v>
      </c>
      <c r="O116" s="596"/>
      <c r="P116" s="596"/>
      <c r="Q116" s="609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59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597"/>
      <c r="L118" s="597"/>
      <c r="M118" s="597"/>
      <c r="N118" s="597"/>
      <c r="O118" s="597"/>
      <c r="P118" s="597"/>
      <c r="Q118" s="597"/>
      <c r="R118" s="597"/>
      <c r="S118" s="597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59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597"/>
      <c r="L120" s="597"/>
      <c r="M120" s="597"/>
      <c r="N120" s="597"/>
      <c r="O120" s="597"/>
      <c r="P120" s="597"/>
      <c r="Q120" s="597"/>
      <c r="R120" s="597"/>
      <c r="S120" s="597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610"/>
      <c r="K123" s="610"/>
      <c r="L123" s="610"/>
      <c r="M123" s="610"/>
      <c r="N123" s="610"/>
      <c r="O123" s="610"/>
      <c r="P123" s="610"/>
      <c r="Q123" s="610"/>
      <c r="R123" s="610"/>
      <c r="S123" s="610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604" t="str">
        <f>Import.Município</f>
        <v>Caçapava do Sul/RS</v>
      </c>
      <c r="K125" s="604"/>
      <c r="L125" s="604"/>
      <c r="M125" s="604"/>
      <c r="P125" s="605">
        <f ca="1">DADOS!$F$25</f>
        <v>45545</v>
      </c>
      <c r="Q125" s="605"/>
      <c r="R125" s="605"/>
      <c r="S125" s="605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606" t="s">
        <v>190</v>
      </c>
      <c r="K126" s="606"/>
      <c r="L126" s="606"/>
      <c r="M126" s="606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607"/>
      <c r="K128" s="607"/>
      <c r="L128" s="607"/>
      <c r="M128" s="607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602" t="s">
        <v>192</v>
      </c>
      <c r="K129" s="602"/>
      <c r="L129" s="602"/>
      <c r="M129" s="602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Fernando Cesar Nubias Pereira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 A - 228673-4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13882809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</mergeCells>
  <phoneticPr fontId="38" type="noConversion"/>
  <conditionalFormatting sqref="J30:S30 J70:S70 J110:S110">
    <cfRule type="expression" dxfId="300" priority="2" stopIfTrue="1">
      <formula>DESONERACAO="não"</formula>
    </cfRule>
  </conditionalFormatting>
  <conditionalFormatting sqref="U29:W29 U69:W69 U109:W109">
    <cfRule type="expression" dxfId="299" priority="3" stopIfTrue="1">
      <formula>AND(U29&lt;&gt;"OK",U29&lt;&gt;"-",U29&lt;&gt;"")</formula>
    </cfRule>
    <cfRule type="cellIs" dxfId="298" priority="4" stopIfTrue="1" operator="equal">
      <formula>"OK"</formula>
    </cfRule>
  </conditionalFormatting>
  <conditionalFormatting sqref="S29 S69 S109">
    <cfRule type="expression" dxfId="297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49"/>
  <sheetViews>
    <sheetView showGridLines="0" view="pageBreakPreview" zoomScale="104" zoomScaleNormal="100" zoomScaleSheetLayoutView="104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A39" sqref="A39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585" t="s">
        <v>147</v>
      </c>
      <c r="P4" s="585"/>
      <c r="Q4" s="89" t="s">
        <v>148</v>
      </c>
      <c r="R4" s="89" t="s">
        <v>149</v>
      </c>
      <c r="S4" s="585" t="s">
        <v>204</v>
      </c>
      <c r="T4" s="585"/>
      <c r="U4" s="585"/>
      <c r="V4" s="585"/>
      <c r="W4" s="585"/>
      <c r="X4" s="585"/>
      <c r="Y4" s="78"/>
      <c r="Z4" s="78"/>
      <c r="AA4" s="78"/>
      <c r="AB4" s="78"/>
    </row>
    <row r="5" spans="1:40" ht="12.75" customHeight="1" x14ac:dyDescent="0.2">
      <c r="A5" s="7">
        <f ca="1">MAX($C$15:$C$32)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582">
        <f>Import.CR</f>
        <v>0</v>
      </c>
      <c r="P5" s="582"/>
      <c r="Q5" s="92">
        <f>Import.SICONV</f>
        <v>0</v>
      </c>
      <c r="R5" s="93" t="str">
        <f>Import.Proponente</f>
        <v>Prefeitura Municipal de Caçapava do Sul</v>
      </c>
      <c r="S5" s="582" t="str">
        <f>Import.Apelido</f>
        <v>Calçamento da Rua Lino Azambuja</v>
      </c>
      <c r="T5" s="582"/>
      <c r="U5" s="582"/>
      <c r="V5" s="582"/>
      <c r="W5" s="582"/>
      <c r="X5" s="582"/>
      <c r="Y5" s="94"/>
      <c r="Z5" s="94"/>
      <c r="AA5" s="94"/>
      <c r="AB5" s="94"/>
      <c r="AE5" s="621" t="s">
        <v>202</v>
      </c>
      <c r="AF5" s="621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585" t="s">
        <v>206</v>
      </c>
      <c r="P7" s="585"/>
      <c r="Q7" s="89" t="s">
        <v>207</v>
      </c>
      <c r="R7" s="89" t="str">
        <f>IF(TIPOORCAMENTO="Licitado","NOME DA EMPRESA","DESCRIÇÃO DO LOTE")</f>
        <v>DESCRIÇÃO DO LOTE</v>
      </c>
      <c r="S7" s="622" t="str">
        <f>IF(TIPOORCAMENTO="Licitado","REGIME DE EXECUÇÃO","MUNICÍPIO / UF")</f>
        <v>MUNICÍPIO / UF</v>
      </c>
      <c r="T7" s="622"/>
      <c r="U7" s="622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25" t="s">
        <v>209</v>
      </c>
      <c r="AL7" s="623" t="s">
        <v>210</v>
      </c>
    </row>
    <row r="8" spans="1:40" ht="12.75" customHeight="1" x14ac:dyDescent="0.2">
      <c r="A8" s="7"/>
      <c r="B8" s="7"/>
      <c r="C8" s="7"/>
      <c r="F8" s="619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19"/>
      <c r="H8" s="619"/>
      <c r="I8" s="619"/>
      <c r="J8" s="619"/>
      <c r="K8" s="619"/>
      <c r="L8" s="611" t="s">
        <v>211</v>
      </c>
      <c r="O8" s="582" t="str">
        <f ca="1">IF(ISERROR(INDIRECT($F$9)),"(N/D: 'Referência "&amp;Excel_BuiltIn_Database&amp;".xls)",INDIRECT($F$9))</f>
        <v>(N/D: 'Referência 04-2024.xls)</v>
      </c>
      <c r="P8" s="582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20" t="str">
        <f>IF(TIPOORCAMENTO="Licitado",Import.RegimeExecução,Import.Município)</f>
        <v>Caçapava do Sul/RS</v>
      </c>
      <c r="T8" s="620"/>
      <c r="U8" s="620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611" t="s">
        <v>212</v>
      </c>
      <c r="Z8" s="611" t="s">
        <v>213</v>
      </c>
      <c r="AA8" s="104"/>
      <c r="AB8" s="104"/>
      <c r="AE8" s="90" t="s">
        <v>208</v>
      </c>
      <c r="AF8" s="91" t="b">
        <v>1</v>
      </c>
      <c r="AJ8" s="625"/>
      <c r="AL8" s="623"/>
    </row>
    <row r="9" spans="1:40" ht="12.75" customHeight="1" x14ac:dyDescent="0.2">
      <c r="F9" s="619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19"/>
      <c r="H9" s="619"/>
      <c r="I9" s="619"/>
      <c r="J9" s="619"/>
      <c r="K9" s="619"/>
      <c r="L9" s="611"/>
      <c r="Y9" s="611"/>
      <c r="Z9" s="611"/>
      <c r="AE9" s="90" t="s">
        <v>214</v>
      </c>
      <c r="AF9" s="91" t="b">
        <v>1</v>
      </c>
      <c r="AJ9" s="625"/>
      <c r="AL9" s="623"/>
    </row>
    <row r="10" spans="1:40" x14ac:dyDescent="0.2">
      <c r="G10" s="86"/>
      <c r="H10" s="86"/>
      <c r="L10" s="611"/>
      <c r="Y10" s="611"/>
      <c r="Z10" s="611"/>
      <c r="AC10" s="105" t="s">
        <v>216</v>
      </c>
      <c r="AE10" s="90" t="s">
        <v>215</v>
      </c>
      <c r="AF10" s="91" t="b">
        <v>1</v>
      </c>
      <c r="AJ10" s="625"/>
      <c r="AL10" s="623"/>
    </row>
    <row r="11" spans="1:40" x14ac:dyDescent="0.2">
      <c r="G11" s="86"/>
      <c r="H11" s="106"/>
      <c r="L11" s="611"/>
      <c r="Y11" s="611"/>
      <c r="Z11" s="611"/>
      <c r="AC11" s="107" t="str">
        <f ca="1">IF(COUNTIF($AC$15:OFFSET($AC$32,-1,0),"DESCRIÇÃO")+COUNTIF($AC$15:OFFSET($AC$32,-1,0),"UNIDADE")+COUNTIF($AC$15:OFFSET($AC$32,-1,0),"SEM VALOR")&gt;0,"NÃO OK","OK")</f>
        <v>OK</v>
      </c>
      <c r="AE11" s="90" t="s">
        <v>217</v>
      </c>
      <c r="AF11" s="91" t="b">
        <v>1</v>
      </c>
      <c r="AJ11" s="625"/>
      <c r="AL11" s="623"/>
    </row>
    <row r="12" spans="1:40" x14ac:dyDescent="0.2">
      <c r="G12" s="86"/>
      <c r="H12" s="86"/>
      <c r="L12" s="611"/>
      <c r="Y12" s="611"/>
      <c r="Z12" s="611"/>
      <c r="AA12" s="624" t="s">
        <v>218</v>
      </c>
      <c r="AB12" s="624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IF(OR($C14="S",$C14=0),0,MATCH(0,OFFSET($D14,1,$C14,ROW($C$32)-ROW($C14)),0))</f>
        <v>0</v>
      </c>
      <c r="K14">
        <f ca="1">IF(OR($C14="S",$C14=0),0,MATCH(OFFSET($D14,0,$C14)+IF($C14&lt;&gt;1,1,COUNTIF(QCI!$A$13:$A$15,ORÇAMENTO!E14)),OFFSET($D14,1,$C14,ROW($C$32)-ROW($C14)),0))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31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COUNTA(OFFSET(D15,1,0):D$32)</f>
        <v>16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13" t="str">
        <f>Import.DescLote</f>
        <v>Lote Único - Empreitada Preço Global</v>
      </c>
      <c r="P15" s="613"/>
      <c r="Q15" s="613"/>
      <c r="R15" s="613"/>
      <c r="S15" s="133"/>
      <c r="T15" s="134"/>
      <c r="U15" s="134"/>
      <c r="V15" s="135"/>
      <c r="W15" s="134"/>
      <c r="X15" s="136">
        <f ca="1">SUMIF(OFFSET($C15,1,0,ROW(X32)-ROW(X15)-1),"S",OFFSET(X15,1,0,ROW(X32)-ROW(X15)-1))</f>
        <v>0</v>
      </c>
      <c r="Y15" s="7"/>
      <c r="Z15" t="str">
        <f ca="1">IF(AND($C15="S",$X15&gt;0),LEFT($Y15,2),"")</f>
        <v/>
      </c>
      <c r="AA15" s="496">
        <f ca="1">SUMIF(OFFSET($C15,1,0,ROW(AA32)-ROW(AA15)-1),"S",OFFSET(AA15,1,0,ROW(AA32)-ROW(AA15)-1))</f>
        <v>0</v>
      </c>
      <c r="AB15" s="137">
        <f ca="1">SUMIF(OFFSET($C15,1,0,ROW(AB32)-ROW(AB15)-1),"S",OFFSET(AB15,1,0,ROW(AB32)-ROW(AB15)-1))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27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27" ca="1" si="2">IF(OR(C16="s",C16=0),OFFSET(B16,-1,0),C16)</f>
        <v>1</v>
      </c>
      <c r="C16">
        <f t="shared" ref="C16:C27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27" ca="1" si="4">IF(OR(C16="S",C16=0),0,IF(ISERROR(K16),J16,SMALL(J16:K16,1)))</f>
        <v>16</v>
      </c>
      <c r="E16">
        <f ca="1">IF($C16=1,OFFSET(E16,-1,0)+MAX(1,COUNTIF(QCI!$A$13:$A$15,OFFSET(ORÇAMENTO!E16,-1,0))),OFFSET(E16,-1,0))</f>
        <v>1</v>
      </c>
      <c r="F16">
        <f t="shared" ref="F16:F27" ca="1" si="5">IF($C16=1,0,IF($C16=2,OFFSET(F16,-1,0)+1,OFFSET(F16,-1,0)))</f>
        <v>0</v>
      </c>
      <c r="G16">
        <f t="shared" ref="G16:G27" ca="1" si="6">IF(AND($C16&lt;=2,$C16&lt;&gt;0),0,IF($C16=3,OFFSET(G16,-1,0)+1,OFFSET(G16,-1,0)))</f>
        <v>0</v>
      </c>
      <c r="H16">
        <f t="shared" ref="H16:H27" ca="1" si="7">IF(AND($C16&lt;=3,$C16&lt;&gt;0),0,IF($C16=4,OFFSET(H16,-1,0)+1,OFFSET(H16,-1,0)))</f>
        <v>0</v>
      </c>
      <c r="I16">
        <f t="shared" ref="I16:I27" ca="1" si="8">IF(AND($C16&lt;=4,$C16&lt;&gt;0),0,IF(AND($C16="S",$X16&gt;0),OFFSET(I16,-1,0)+1,OFFSET(I16,-1,0)))</f>
        <v>0</v>
      </c>
      <c r="J16">
        <f t="shared" ref="J16:J31" ca="1" si="9">IF(OR($C16="S",$C16=0),0,MATCH(0,OFFSET($D16,1,$C16,ROW($C$32)-ROW($C16)),0))</f>
        <v>16</v>
      </c>
      <c r="K16" t="e">
        <f ca="1">IF(OR($C16="S",$C16=0),0,MATCH(OFFSET($D16,0,$C16)+IF($C16&lt;&gt;1,1,COUNTIF(QCI!$A$13:$A$15,ORÇAMENTO!E16)),OFFSET($D16,1,$C16,ROW($C$32)-ROW($C16)),0))</f>
        <v>#N/A</v>
      </c>
      <c r="L16" s="116" t="str">
        <f t="shared" ref="L16:L27" ca="1" si="10">IF(OR($X16&gt;0,$C16=1,$C16=2,$C16=3,$C16=4),"F","")</f>
        <v>F</v>
      </c>
      <c r="M16" s="117" t="s">
        <v>197</v>
      </c>
      <c r="N16" s="118" t="str">
        <f t="shared" ref="N16:N27" ca="1" si="11">CHOOSE(1+LOG(1+2*(C16=1)+4*(C16=2)+8*(C16=3)+16*(C16=4)+32*(C16="S"),2),"","Meta","Nível 2","Nível 3","Nível 4","Serviço")</f>
        <v>Meta</v>
      </c>
      <c r="O16" s="119" t="str">
        <f t="shared" ref="O16:O27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481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27" ca="1" si="13">IF($C16="S",ROUND(IF(TIPOORCAMENTO="Proposto",ORÇAMENTO.CustoUnitario*(1+$AH16),ORÇAMENTO.PrecoUnitarioLicitado),15-13*$AF$10),0)</f>
        <v>0</v>
      </c>
      <c r="X16" s="127">
        <f t="shared" ref="X16:X27" ca="1" si="14">IF($C16="S",VTOTAL1,IF($C16=0,0,ROUND(SomaAgrup,15-13*$AF$11)))</f>
        <v>0</v>
      </c>
      <c r="Y16" s="128" t="s">
        <v>247</v>
      </c>
      <c r="Z16" t="str">
        <f t="shared" ref="Z16:Z27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27" ca="1" si="16">IF($C16="S",IF($Z16="OU",ROUND($X16,2),0),SomaAgrup)</f>
        <v>0</v>
      </c>
      <c r="AC16" s="131" t="str">
        <f t="shared" ref="AC16:AC27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27" ca="1" si="18">IF(AND($C16="S",ORÇAMENTO.CodBarra&lt;&gt;""),IF(ORÇAMENTO.Fonte="",ORÇAMENTO.CodBarra,CONCATENATE(ORÇAMENTO.Fonte," ",ORÇAMENTO.CodBarra)))</f>
        <v>0</v>
      </c>
      <c r="AF16" s="13" t="str">
        <f t="shared" ref="AF16:AF27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27" ca="1" si="20">ROUND(IF(DESONERACAO="sim",REFERENCIA.Desonerado,REFERENCIA.NaoDesonerado),2)</f>
        <v>0</v>
      </c>
      <c r="AH16" s="499">
        <f t="shared" ref="AH16:AH27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27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15</v>
      </c>
      <c r="K17">
        <f ca="1">IF(OR($C17="S",$C17=0),0,MATCH(OFFSET($D17,0,$C17)+IF($C17&lt;&gt;1,1,COUNTIF(QCI!$A$13:$A$15,ORÇAMENTO!E17)),OFFSET($D17,1,$C17,ROW($C$32)-ROW($C17)),0))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465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IF(OR($C18="S",$C18=0),0,MATCH(OFFSET($D18,0,$C18)+IF($C18&lt;&gt;1,1,COUNTIF(QCI!$A$13:$A$15,ORÇAMENTO!E18)),OFFSET($D18,1,$C18,ROW($C$32)-ROW($C18)),0))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462</v>
      </c>
      <c r="Q18" s="121" t="s">
        <v>457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2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13</v>
      </c>
      <c r="K19">
        <f ca="1">IF(OR($C19="S",$C19=0),0,MATCH(OFFSET($D19,0,$C19)+IF($C19&lt;&gt;1,1,COUNTIF(QCI!$A$13:$A$15,ORÇAMENTO!E19)),OFFSET($D19,1,$C19,ROW($C$32)-ROW($C19)),0))</f>
        <v>2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443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IF(OR($C20="S",$C20=0),0,MATCH(OFFSET($D20,0,$C20)+IF($C20&lt;&gt;1,1,COUNTIF(QCI!$A$13:$A$15,ORÇAMENTO!E20)),OFFSET($D20,1,$C20,ROW($C$32)-ROW($C20)),0))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467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23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>
        <f>CHOOSE(1+LOG(1+2*(ORÇAMENTO.Nivel="Meta")+4*(ORÇAMENTO.Nivel="Nível 2")+8*(ORÇAMENTO.Nivel="Nível 3")+16*(ORÇAMENTO.Nivel="Nível 4")+32*(ORÇAMENTO.Nivel="Serviço"),2),0,1,2,3,4,"S")</f>
        <v>2</v>
      </c>
      <c r="B21">
        <f t="shared" ref="B21:B22" ca="1" si="25">IF(OR(C21="s",C21=0),OFFSET(B21,-1,0),C21)</f>
        <v>2</v>
      </c>
      <c r="C21">
        <f t="shared" ref="C21:C22" ca="1" si="26">IF(OFFSET(C21,-1,0)="L",1,IF(OFFSET(C21,-1,0)=1,2,IF(OR(A21="s",A21=0),"S",IF(AND(OFFSET(C21,-1,0)=2,A21=4),3,IF(AND(OR(OFFSET(C21,-1,0)="s",OFFSET(C21,-1,0)=0),A21&lt;&gt;"s",A21&gt;OFFSET(B21,-1,0)),OFFSET(B21,-1,0),A21)))))</f>
        <v>2</v>
      </c>
      <c r="D21">
        <f t="shared" ref="D21:D22" ca="1" si="27">IF(OR(C21="S",C21=0),0,IF(ISERROR(K21),J21,SMALL(J21:K21,1)))</f>
        <v>2</v>
      </c>
      <c r="E21">
        <f ca="1">IF($C21=1,OFFSET(E21,-1,0)+MAX(1,COUNTIF(QCI!$A$13:$A$15,OFFSET(ORÇAMENTO!E21,-1,0))),OFFSET(E21,-1,0))</f>
        <v>1</v>
      </c>
      <c r="F21">
        <f t="shared" ref="F21:F22" ca="1" si="28">IF($C21=1,0,IF($C21=2,OFFSET(F21,-1,0)+1,OFFSET(F21,-1,0)))</f>
        <v>3</v>
      </c>
      <c r="G21">
        <f t="shared" ref="G21:G22" ca="1" si="29">IF(AND($C21&lt;=2,$C21&lt;&gt;0),0,IF($C21=3,OFFSET(G21,-1,0)+1,OFFSET(G21,-1,0)))</f>
        <v>0</v>
      </c>
      <c r="H21">
        <f t="shared" ref="H21:H22" ca="1" si="30">IF(AND($C21&lt;=3,$C21&lt;&gt;0),0,IF($C21=4,OFFSET(H21,-1,0)+1,OFFSET(H21,-1,0)))</f>
        <v>0</v>
      </c>
      <c r="I21">
        <f t="shared" ref="I21:I22" ca="1" si="31">IF(AND($C21&lt;=4,$C21&lt;&gt;0),0,IF(AND($C21="S",$X21&gt;0),OFFSET(I21,-1,0)+1,OFFSET(I21,-1,0)))</f>
        <v>0</v>
      </c>
      <c r="J21">
        <f t="shared" ca="1" si="9"/>
        <v>11</v>
      </c>
      <c r="K21">
        <f ca="1">IF(OR($C21="S",$C21=0),0,MATCH(OFFSET($D21,0,$C21)+IF($C21&lt;&gt;1,1,COUNTIF(QCI!$A$13:$A$15,ORÇAMENTO!E21)),OFFSET($D21,1,$C21,ROW($C$32)-ROW($C21)),0))</f>
        <v>2</v>
      </c>
      <c r="L21" s="116" t="str">
        <f t="shared" ref="L21:L22" ca="1" si="32">IF(OR($X21&gt;0,$C21=1,$C21=2,$C21=3,$C21=4),"F","")</f>
        <v>F</v>
      </c>
      <c r="M21" s="117" t="s">
        <v>198</v>
      </c>
      <c r="N21" s="118" t="str">
        <f t="shared" ref="N21:N22" ca="1" si="33">CHOOSE(1+LOG(1+2*(C21=1)+4*(C21=2)+8*(C21=3)+16*(C21=4)+32*(C21="S"),2),"","Meta","Nível 2","Nível 3","Nível 4","Serviço")</f>
        <v>Nível 2</v>
      </c>
      <c r="O21" s="119" t="str">
        <f t="shared" ref="O21:O22" ca="1" si="34">IF(OR($C21=0,$L21=""),"-",CONCATENATE(E21&amp;".",IF(AND($A$5&gt;=2,$C21&gt;=2),F21&amp;".",""),IF(AND($A$5&gt;=3,$C21&gt;=3),G21&amp;".",""),IF(AND($A$5&gt;=4,$C21&gt;=4),H21&amp;".",""),IF($C21="S",I21&amp;".","")))</f>
        <v>1.3.</v>
      </c>
      <c r="P21" s="120" t="s">
        <v>249</v>
      </c>
      <c r="Q21" s="121"/>
      <c r="R21" s="122" t="s">
        <v>466</v>
      </c>
      <c r="S21" s="123" t="str">
        <f ca="1">REFERENCIA.Unidade</f>
        <v>-</v>
      </c>
      <c r="T21" s="124">
        <f ca="1">OFFSET(CÁLCULO!H$15,ROW($T21)-ROW(T$15),0)</f>
        <v>0</v>
      </c>
      <c r="U21" s="125"/>
      <c r="V21" s="126" t="s">
        <v>158</v>
      </c>
      <c r="W21" s="124">
        <f ca="1">IF($C21="S",ROUND(IF(TIPOORCAMENTO="Proposto",ORÇAMENTO.CustoUnitario*(1+$AH21),ORÇAMENTO.PrecoUnitarioLicitado),15-13*$AF$10),0)</f>
        <v>0</v>
      </c>
      <c r="X21" s="127">
        <f ca="1">IF($C21="S",VTOTAL1,IF($C21=0,0,ROUND(SomaAgrup,15-13*$AF$11)))</f>
        <v>0</v>
      </c>
      <c r="Y21" s="128" t="s">
        <v>247</v>
      </c>
      <c r="Z21" t="str">
        <f t="shared" ref="Z21:Z22" ca="1" si="35">IF(AND($C21="S",$X21&gt;0),IF(ISBLANK($Y21),"RA",LEFT($Y21,2)),"")</f>
        <v/>
      </c>
      <c r="AA21" s="129">
        <f ca="1">IF($C21="S",IF($Z21="CP",$X21,IF($Z21="RA",(($X21)*QCI!$AA$3),0)),SomaAgrup)</f>
        <v>0</v>
      </c>
      <c r="AB21" s="130">
        <f ca="1">IF($C21="S",IF($Z21="OU",ROUND($X21,2),0),SomaAgrup)</f>
        <v>0</v>
      </c>
      <c r="AC21" s="131" t="str">
        <f ca="1">IF($N21="","",IF(ORÇAMENTO.Descricao="","DESCRIÇÃO",IF(AND($C21="S",ORÇAMENTO.Unidade=""),"UNIDADE",IF($X21&lt;0,"VALOR NEGATIVO",IF(OR(AND(TIPOORCAMENTO="Proposto",$AG21&lt;&gt;"",$AG21&gt;0,ORÇAMENTO.CustoUnitario&gt;$AG21),AND(TIPOORCAMENTO="LICITADO",ORÇAMENTO.PrecoUnitarioLicitado&gt;$AN21)),"ACIMA REF.","")))))</f>
        <v/>
      </c>
      <c r="AD21">
        <f ca="1">IF(C21&lt;=CRONO.NivelExibicao,MAX($AD$15:OFFSET(AD21,-1,0))+IF($C21&lt;&gt;1,1,MAX(1,COUNTIF(QCI!$A$13:$A$15,OFFSET($E21,-1,0)))),"")</f>
        <v>4</v>
      </c>
      <c r="AE21" s="7" t="b">
        <f ca="1">IF(AND($C21="S",ORÇAMENTO.CodBarra&lt;&gt;""),IF(ORÇAMENTO.Fonte="",ORÇAMENTO.CodBarra,CONCATENATE(ORÇAMENTO.Fonte," ",ORÇAMENTO.CodBarra)))</f>
        <v>0</v>
      </c>
      <c r="AF21" s="13" t="str">
        <f ca="1">IF(ISERROR(INDIRECT(ORÇAMENTO.BancoRef)),"(abra o arquivo 'Referência "&amp;Excel_BuiltIn_Database&amp;".xls)",IF(OR($C21&lt;&gt;"S",ORÇAMENTO.CodBarra=""),"(Sem Código)",IF(ISERROR(MATCH($AE21,INDIRECT(ORÇAMENTO.BancoRef),0)),"(Código não identificado nas referências)",MATCH($AE21,INDIRECT(ORÇAMENTO.BancoRef),0))))</f>
        <v>(abra o arquivo 'Referência 04-2024.xls)</v>
      </c>
      <c r="AG21" s="498">
        <f ca="1">ROUND(IF(DESONERACAO="sim",REFERENCIA.Desonerado,REFERENCIA.NaoDesonerado),2)</f>
        <v>0</v>
      </c>
      <c r="AH21" s="499">
        <f ca="1">ROUND(IF(ISNUMBER(ORÇAMENTO.OpcaoBDI),ORÇAMENTO.OpcaoBDI,IF(LEFT(ORÇAMENTO.OpcaoBDI,3)="BDI",HLOOKUP(ORÇAMENTO.OpcaoBDI,$F$4:$H$5,2,FALSE),0)),15-11*$AF$9)</f>
        <v>0.22869999999999999</v>
      </c>
      <c r="AJ21" s="501"/>
      <c r="AL21" s="527"/>
      <c r="AM21" s="380">
        <f t="shared" ca="1" si="0"/>
        <v>0</v>
      </c>
      <c r="AN21" s="566">
        <f ca="1">ROUND(ORÇAMENTO.CustoUnitario*(1+$AH21),2)</f>
        <v>0</v>
      </c>
    </row>
    <row r="22" spans="1:40" ht="25.5" x14ac:dyDescent="0.2">
      <c r="A22" t="str">
        <f>CHOOSE(1+LOG(1+2*(ORÇAMENTO.Nivel="Meta")+4*(ORÇAMENTO.Nivel="Nível 2")+8*(ORÇAMENTO.Nivel="Nível 3")+16*(ORÇAMENTO.Nivel="Nível 4")+32*(ORÇAMENTO.Nivel="Serviço"),2),0,1,2,3,4,"S")</f>
        <v>S</v>
      </c>
      <c r="B22">
        <f t="shared" ca="1" si="25"/>
        <v>2</v>
      </c>
      <c r="C22" t="str">
        <f t="shared" ca="1" si="26"/>
        <v>S</v>
      </c>
      <c r="D22">
        <f t="shared" ca="1" si="27"/>
        <v>0</v>
      </c>
      <c r="E22">
        <f ca="1">IF($C22=1,OFFSET(E22,-1,0)+MAX(1,COUNTIF(QCI!$A$13:$A$15,OFFSET(ORÇAMENTO!E22,-1,0))),OFFSET(E22,-1,0))</f>
        <v>1</v>
      </c>
      <c r="F22">
        <f t="shared" ca="1" si="28"/>
        <v>3</v>
      </c>
      <c r="G22">
        <f t="shared" ca="1" si="29"/>
        <v>0</v>
      </c>
      <c r="H22">
        <f t="shared" ca="1" si="30"/>
        <v>0</v>
      </c>
      <c r="I22">
        <f t="shared" ca="1" si="31"/>
        <v>0</v>
      </c>
      <c r="J22">
        <f t="shared" ca="1" si="9"/>
        <v>0</v>
      </c>
      <c r="K22">
        <f ca="1">IF(OR($C22="S",$C22=0),0,MATCH(OFFSET($D22,0,$C22)+IF($C22&lt;&gt;1,1,COUNTIF(QCI!$A$13:$A$15,ORÇAMENTO!E22)),OFFSET($D22,1,$C22,ROW($C$32)-ROW($C22)),0))</f>
        <v>0</v>
      </c>
      <c r="L22" s="116" t="str">
        <f t="shared" ca="1" si="32"/>
        <v/>
      </c>
      <c r="M22" s="117" t="s">
        <v>201</v>
      </c>
      <c r="N22" s="118" t="str">
        <f t="shared" ca="1" si="33"/>
        <v>Serviço</v>
      </c>
      <c r="O22" s="119" t="str">
        <f t="shared" ca="1" si="34"/>
        <v>-</v>
      </c>
      <c r="P22" s="120" t="s">
        <v>249</v>
      </c>
      <c r="Q22" s="121" t="s">
        <v>440</v>
      </c>
      <c r="R22" s="122" t="str">
        <f ca="1">IF($C22="S",REFERENCIA.Descricao,"(digite a descrição aqui)")</f>
        <v>(abra o arquivo 'Referência 04-2024.xls)</v>
      </c>
      <c r="S22" s="123" t="str">
        <f ca="1">REFERENCIA.Unidade</f>
        <v>-</v>
      </c>
      <c r="T22" s="124">
        <f ca="1">OFFSET(CÁLCULO!H$15,ROW($T22)-ROW(T$15),0)</f>
        <v>348</v>
      </c>
      <c r="U22" s="125">
        <f t="shared" ca="1" si="24"/>
        <v>0</v>
      </c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ca="1" si="35"/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 t="str">
        <f ca="1">IF(C22&lt;=CRONO.NivelExibicao,MAX($AD$15:OFFSET(AD22,-1,0))+IF($C22&lt;&gt;1,1,MAX(1,COUNTIF(QCI!$A$13:$A$15,OFFSET($E22,-1,0)))),"")</f>
        <v/>
      </c>
      <c r="AE22" s="7" t="str">
        <f ca="1">IF(AND($C22="S",ORÇAMENTO.CodBarra&lt;&gt;""),IF(ORÇAMENTO.Fonte="",ORÇAMENTO.CodBarra,CONCATENATE(ORÇAMENTO.Fonte," ",ORÇAMENTO.CodBarra)))</f>
        <v>SINAPI 100576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>
        <v>2739.38</v>
      </c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x14ac:dyDescent="0.2">
      <c r="A23">
        <f t="shared" si="1"/>
        <v>2</v>
      </c>
      <c r="B23">
        <f t="shared" ca="1" si="2"/>
        <v>2</v>
      </c>
      <c r="C23">
        <f t="shared" ca="1" si="3"/>
        <v>2</v>
      </c>
      <c r="D23">
        <f t="shared" ca="1" si="4"/>
        <v>6</v>
      </c>
      <c r="E23">
        <f ca="1">IF($C23=1,OFFSET(E23,-1,0)+MAX(1,COUNTIF(QCI!$A$13:$A$15,OFFSET(ORÇAMENTO!E23,-1,0))),OFFSET(E23,-1,0))</f>
        <v>1</v>
      </c>
      <c r="F23">
        <f t="shared" ca="1" si="5"/>
        <v>4</v>
      </c>
      <c r="G23">
        <f t="shared" ca="1" si="6"/>
        <v>0</v>
      </c>
      <c r="H23">
        <f t="shared" ca="1" si="7"/>
        <v>0</v>
      </c>
      <c r="I23">
        <f t="shared" ca="1" si="8"/>
        <v>0</v>
      </c>
      <c r="J23">
        <f t="shared" ca="1" si="9"/>
        <v>9</v>
      </c>
      <c r="K23">
        <f ca="1">IF(OR($C23="S",$C23=0),0,MATCH(OFFSET($D23,0,$C23)+IF($C23&lt;&gt;1,1,COUNTIF(QCI!$A$13:$A$15,ORÇAMENTO!E23)),OFFSET($D23,1,$C23,ROW($C$32)-ROW($C23)),0))</f>
        <v>6</v>
      </c>
      <c r="L23" s="116" t="str">
        <f t="shared" ca="1" si="10"/>
        <v>F</v>
      </c>
      <c r="M23" s="117" t="s">
        <v>198</v>
      </c>
      <c r="N23" s="118" t="str">
        <f t="shared" ca="1" si="11"/>
        <v>Nível 2</v>
      </c>
      <c r="O23" s="119" t="str">
        <f t="shared" ca="1" si="12"/>
        <v>1.4.</v>
      </c>
      <c r="P23" s="120" t="s">
        <v>249</v>
      </c>
      <c r="Q23" s="121"/>
      <c r="R23" s="122" t="s">
        <v>444</v>
      </c>
      <c r="S23" s="123" t="s">
        <v>168</v>
      </c>
      <c r="T23" s="124">
        <f ca="1">OFFSET(CÁLCULO!H$15,ROW($T23)-ROW(T$15),0)</f>
        <v>0</v>
      </c>
      <c r="U23" s="125">
        <f t="shared" ca="1" si="24"/>
        <v>0</v>
      </c>
      <c r="V23" s="126" t="s">
        <v>158</v>
      </c>
      <c r="W23" s="124">
        <f t="shared" ca="1" si="13"/>
        <v>0</v>
      </c>
      <c r="X23" s="127">
        <f t="shared" ca="1" si="14"/>
        <v>0</v>
      </c>
      <c r="Y23" s="128" t="s">
        <v>247</v>
      </c>
      <c r="Z23" t="str">
        <f t="shared" ca="1" si="15"/>
        <v/>
      </c>
      <c r="AA23" s="129">
        <f ca="1">IF($C23="S",IF($Z23="CP",$X23,IF($Z23="RA",(($X23)*QCI!$AA$3),0)),SomaAgrup)</f>
        <v>0</v>
      </c>
      <c r="AB23" s="130">
        <f t="shared" ca="1" si="16"/>
        <v>0</v>
      </c>
      <c r="AC23" s="131" t="str">
        <f t="shared" ca="1" si="17"/>
        <v/>
      </c>
      <c r="AD23">
        <f ca="1">IF(C23&lt;=CRONO.NivelExibicao,MAX($AD$15:OFFSET(AD23,-1,0))+IF($C23&lt;&gt;1,1,MAX(1,COUNTIF(QCI!$A$13:$A$15,OFFSET($E23,-1,0)))),"")</f>
        <v>5</v>
      </c>
      <c r="AE23" s="7" t="b">
        <f t="shared" ca="1" si="18"/>
        <v>0</v>
      </c>
      <c r="AF23" s="13" t="str">
        <f t="shared" ca="1" si="19"/>
        <v>(abra o arquivo 'Referência 04-2024.xls)</v>
      </c>
      <c r="AG23" s="498">
        <f t="shared" ca="1" si="20"/>
        <v>0</v>
      </c>
      <c r="AH23" s="499">
        <f t="shared" ca="1" si="21"/>
        <v>0.22869999999999999</v>
      </c>
      <c r="AJ23" s="501"/>
      <c r="AL23" s="527"/>
      <c r="AM23" s="380">
        <f t="shared" ca="1" si="0"/>
        <v>0</v>
      </c>
      <c r="AN23" s="566">
        <f t="shared" ca="1" si="22"/>
        <v>0</v>
      </c>
    </row>
    <row r="24" spans="1:40" x14ac:dyDescent="0.2">
      <c r="A24">
        <f>CHOOSE(1+LOG(1+2*(ORÇAMENTO.Nivel="Meta")+4*(ORÇAMENTO.Nivel="Nível 2")+8*(ORÇAMENTO.Nivel="Nível 3")+16*(ORÇAMENTO.Nivel="Nível 4")+32*(ORÇAMENTO.Nivel="Serviço"),2),0,1,2,3,4,"S")</f>
        <v>4</v>
      </c>
      <c r="B24">
        <f ca="1">IF(OR(C24="s",C24=0),OFFSET(B24,-1,0),C24)</f>
        <v>3</v>
      </c>
      <c r="C24">
        <f ca="1">IF(OFFSET(C24,-1,0)="L",1,IF(OFFSET(C24,-1,0)=1,2,IF(OR(A24="s",A24=0),"S",IF(AND(OFFSET(C24,-1,0)=2,A24=4),3,IF(AND(OR(OFFSET(C24,-1,0)="s",OFFSET(C24,-1,0)=0),A24&lt;&gt;"s",A24&gt;OFFSET(B24,-1,0)),OFFSET(B24,-1,0),A24)))))</f>
        <v>3</v>
      </c>
      <c r="D24">
        <f ca="1">IF(OR(C24="S",C24=0),0,IF(ISERROR(K24),J24,SMALL(J24:K24,1)))</f>
        <v>5</v>
      </c>
      <c r="E24">
        <f ca="1">IF($C24=1,OFFSET(E24,-1,0)+MAX(1,COUNTIF(QCI!$A$13:$A$15,OFFSET(ORÇAMENTO!E24,-1,0))),OFFSET(E24,-1,0))</f>
        <v>1</v>
      </c>
      <c r="F24">
        <f ca="1">IF($C24=1,0,IF($C24=2,OFFSET(F24,-1,0)+1,OFFSET(F24,-1,0)))</f>
        <v>4</v>
      </c>
      <c r="G24">
        <f ca="1">IF(AND($C24&lt;=2,$C24&lt;&gt;0),0,IF($C24=3,OFFSET(G24,-1,0)+1,OFFSET(G24,-1,0)))</f>
        <v>1</v>
      </c>
      <c r="H24">
        <f ca="1">IF(AND($C24&lt;=3,$C24&lt;&gt;0),0,IF($C24=4,OFFSET(H24,-1,0)+1,OFFSET(H24,-1,0)))</f>
        <v>0</v>
      </c>
      <c r="I24">
        <f ca="1">IF(AND($C24&lt;=4,$C24&lt;&gt;0),0,IF(AND($C24="S",$X24&gt;0),OFFSET(I24,-1,0)+1,OFFSET(I24,-1,0)))</f>
        <v>0</v>
      </c>
      <c r="J24">
        <f t="shared" ca="1" si="9"/>
        <v>5</v>
      </c>
      <c r="K24" t="e">
        <f ca="1">IF(OR($C24="S",$C24=0),0,MATCH(OFFSET($D24,0,$C24)+IF($C24&lt;&gt;1,1,COUNTIF(QCI!$A$13:$A$15,ORÇAMENTO!E24)),OFFSET($D24,1,$C24,ROW($C$32)-ROW($C24)),0))</f>
        <v>#N/A</v>
      </c>
      <c r="L24" s="116" t="str">
        <f ca="1">IF(OR($X24&gt;0,$C24=1,$C24=2,$C24=3,$C24=4),"F","")</f>
        <v>F</v>
      </c>
      <c r="M24" s="117" t="s">
        <v>200</v>
      </c>
      <c r="N24" s="118" t="str">
        <f ca="1">CHOOSE(1+LOG(1+2*(C24=1)+4*(C24=2)+8*(C24=3)+16*(C24=4)+32*(C24="S"),2),"","Meta","Nível 2","Nível 3","Nível 4","Serviço")</f>
        <v>Nível 3</v>
      </c>
      <c r="O24" s="119" t="str">
        <f ca="1">IF(OR($C24=0,$L24=""),"-",CONCATENATE(E24&amp;".",IF(AND($A$5&gt;=2,$C24&gt;=2),F24&amp;".",""),IF(AND($A$5&gt;=3,$C24&gt;=3),G24&amp;".",""),IF(AND($A$5&gt;=4,$C24&gt;=4),H24&amp;".",""),IF($C24="S",I24&amp;".","")))</f>
        <v>1.4.1.</v>
      </c>
      <c r="P24" s="120" t="s">
        <v>249</v>
      </c>
      <c r="Q24" s="121"/>
      <c r="R24" s="122" t="s">
        <v>483</v>
      </c>
      <c r="S24" s="123" t="str">
        <f ca="1">REFERENCIA.Unidade</f>
        <v>-</v>
      </c>
      <c r="T24" s="124">
        <f ca="1">OFFSET(CÁLCULO!H$15,ROW($T24)-ROW(T$15),0)</f>
        <v>0</v>
      </c>
      <c r="U24" s="125"/>
      <c r="V24" s="126" t="s">
        <v>158</v>
      </c>
      <c r="W24" s="124">
        <f ca="1">IF($C24="S",ROUND(IF(TIPOORCAMENTO="Proposto",ORÇAMENTO.CustoUnitario*(1+$AH24),ORÇAMENTO.PrecoUnitarioLicitado),15-13*$AF$10),0)</f>
        <v>0</v>
      </c>
      <c r="X24" s="127">
        <f ca="1">IF($C24="S",VTOTAL1,IF($C24=0,0,ROUND(SomaAgrup,15-13*$AF$11)))</f>
        <v>0</v>
      </c>
      <c r="Y24" s="128" t="s">
        <v>247</v>
      </c>
      <c r="Z24" t="str">
        <f ca="1">IF(AND($C24="S",$X24&gt;0),IF(ISBLANK($Y24),"RA",LEFT($Y24,2)),"")</f>
        <v/>
      </c>
      <c r="AA24" s="129">
        <f ca="1">IF($C24="S",IF($Z24="CP",$X24,IF($Z24="RA",(($X24)*QCI!$AA$3),0)),SomaAgrup)</f>
        <v>0</v>
      </c>
      <c r="AB24" s="130">
        <f ca="1">IF($C24="S",IF($Z24="OU",ROUND($X24,2),0),SomaAgrup)</f>
        <v>0</v>
      </c>
      <c r="AC24" s="131" t="str">
        <f ca="1">IF($N24="","",IF(ORÇAMENTO.Descricao="","DESCRIÇÃO",IF(AND($C24="S",ORÇAMENTO.Unidade=""),"UNIDADE",IF($X24&lt;0,"VALOR NEGATIVO",IF(OR(AND(TIPOORCAMENTO="Proposto",$AG24&lt;&gt;"",$AG24&gt;0,ORÇAMENTO.CustoUnitario&gt;$AG24),AND(TIPOORCAMENTO="LICITADO",ORÇAMENTO.PrecoUnitarioLicitado&gt;$AN24)),"ACIMA REF.","")))))</f>
        <v/>
      </c>
      <c r="AD24" t="str">
        <f ca="1">IF(C24&lt;=CRONO.NivelExibicao,MAX($AD$15:OFFSET(AD24,-1,0))+IF($C24&lt;&gt;1,1,MAX(1,COUNTIF(QCI!$A$13:$A$15,OFFSET($E24,-1,0)))),"")</f>
        <v/>
      </c>
      <c r="AE24" s="7" t="b">
        <f ca="1">IF(AND($C24="S",ORÇAMENTO.CodBarra&lt;&gt;""),IF(ORÇAMENTO.Fonte="",ORÇAMENTO.CodBarra,CONCATENATE(ORÇAMENTO.Fonte," ",ORÇAMENTO.CodBarra)))</f>
        <v>0</v>
      </c>
      <c r="AF24" s="13" t="str">
        <f ca="1">IF(ISERROR(INDIRECT(ORÇAMENTO.BancoRef)),"(abra o arquivo 'Referência "&amp;Excel_BuiltIn_Database&amp;".xls)",IF(OR($C24&lt;&gt;"S",ORÇAMENTO.CodBarra=""),"(Sem Código)",IF(ISERROR(MATCH($AE24,INDIRECT(ORÇAMENTO.BancoRef),0)),"(Código não identificado nas referências)",MATCH($AE24,INDIRECT(ORÇAMENTO.BancoRef),0))))</f>
        <v>(abra o arquivo 'Referência 04-2024.xls)</v>
      </c>
      <c r="AG24" s="498">
        <f ca="1">ROUND(IF(DESONERACAO="sim",REFERENCIA.Desonerado,REFERENCIA.NaoDesonerado),2)</f>
        <v>0</v>
      </c>
      <c r="AH24" s="499">
        <f ca="1">ROUND(IF(ISNUMBER(ORÇAMENTO.OpcaoBDI),ORÇAMENTO.OpcaoBDI,IF(LEFT(ORÇAMENTO.OpcaoBDI,3)="BDI",HLOOKUP(ORÇAMENTO.OpcaoBDI,$F$4:$H$5,2,FALSE),0)),15-11*$AF$9)</f>
        <v>0.22869999999999999</v>
      </c>
      <c r="AJ24" s="501"/>
      <c r="AL24" s="527"/>
      <c r="AM24" s="380">
        <f t="shared" ca="1" si="0"/>
        <v>0</v>
      </c>
      <c r="AN24" s="566">
        <f ca="1">ROUND(ORÇAMENTO.CustoUnitario*(1+$AH24),2)</f>
        <v>0</v>
      </c>
    </row>
    <row r="25" spans="1:40" ht="25.5" x14ac:dyDescent="0.2">
      <c r="A25" t="str">
        <f>CHOOSE(1+LOG(1+2*(ORÇAMENTO.Nivel="Meta")+4*(ORÇAMENTO.Nivel="Nível 2")+8*(ORÇAMENTO.Nivel="Nível 3")+16*(ORÇAMENTO.Nivel="Nível 4")+32*(ORÇAMENTO.Nivel="Serviço"),2),0,1,2,3,4,"S")</f>
        <v>S</v>
      </c>
      <c r="B25">
        <f ca="1">IF(OR(C25="s",C25=0),OFFSET(B25,-1,0),C25)</f>
        <v>3</v>
      </c>
      <c r="C25" t="str">
        <f ca="1">IF(OFFSET(C25,-1,0)="L",1,IF(OFFSET(C25,-1,0)=1,2,IF(OR(A25="s",A25=0),"S",IF(AND(OFFSET(C25,-1,0)=2,A25=4),3,IF(AND(OR(OFFSET(C25,-1,0)="s",OFFSET(C25,-1,0)=0),A25&lt;&gt;"s",A25&gt;OFFSET(B25,-1,0)),OFFSET(B25,-1,0),A25)))))</f>
        <v>S</v>
      </c>
      <c r="D25">
        <f ca="1">IF(OR(C25="S",C25=0),0,IF(ISERROR(K25),J25,SMALL(J25:K25,1)))</f>
        <v>0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0</v>
      </c>
      <c r="K25">
        <f ca="1">IF(OR($C25="S",$C25=0),0,MATCH(OFFSET($D25,0,$C25)+IF($C25&lt;&gt;1,1,COUNTIF(QCI!$A$13:$A$15,ORÇAMENTO!E25)),OFFSET($D25,1,$C25,ROW($C$32)-ROW($C25)),0))</f>
        <v>0</v>
      </c>
      <c r="L25" s="116" t="str">
        <f ca="1">IF(OR($X25&gt;0,$C25=1,$C25=2,$C25=3,$C25=4),"F","")</f>
        <v/>
      </c>
      <c r="M25" s="117" t="s">
        <v>201</v>
      </c>
      <c r="N25" s="118" t="str">
        <f ca="1">CHOOSE(1+LOG(1+2*(C25=1)+4*(C25=2)+8*(C25=3)+16*(C25=4)+32*(C25="S"),2),"","Meta","Nível 2","Nível 3","Nível 4","Serviço")</f>
        <v>Serviço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-</v>
      </c>
      <c r="P25" s="120" t="s">
        <v>249</v>
      </c>
      <c r="Q25" s="121" t="s">
        <v>484</v>
      </c>
      <c r="R25" s="122" t="str">
        <f ca="1">IF($C25="S",REFERENCIA.Descricao,"(digite a descrição aqui)")</f>
        <v>(abra o arquivo 'Referência 04-2024.xls)</v>
      </c>
      <c r="S25" s="123" t="str">
        <f ca="1">REFERENCIA.Unidade</f>
        <v>-</v>
      </c>
      <c r="T25" s="124">
        <f ca="1">OFFSET(CÁLCULO!H$15,ROW($T25)-ROW(T$15),0)</f>
        <v>348</v>
      </c>
      <c r="U25" s="125">
        <f ca="1">AG25</f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str">
        <f ca="1">IF(AND($C25="S",ORÇAMENTO.CodBarra&lt;&gt;""),IF(ORÇAMENTO.Fonte="",ORÇAMENTO.CodBarra,CONCATENATE(ORÇAMENTO.Fonte," ",ORÇAMENTO.CodBarra)))</f>
        <v>SINAPI 101167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>
        <v>2679.38</v>
      </c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38.25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IF(OR($C26="S",$C26=0),0,MATCH(OFFSET($D26,0,$C26)+IF($C26&lt;&gt;1,1,COUNTIF(QCI!$A$13:$A$15,ORÇAMENTO!E26)),OFFSET($D26,1,$C26,ROW($C$32)-ROW($C26)),0))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485</v>
      </c>
      <c r="R26" s="122" t="str">
        <f t="shared" ref="R26:R28" ca="1" si="36">IF($C26="S",REFERENCIA.Descricao,"(digite a descrição aqui)")</f>
        <v>(abra o arquivo 'Referência 04-2024.xls)</v>
      </c>
      <c r="S26" s="123" t="str">
        <f t="shared" ref="S26:S27" ca="1" si="37">REFERENCIA.Unidade</f>
        <v>-</v>
      </c>
      <c r="T26" s="124">
        <f ca="1">OFFSET(CÁLCULO!H$15,ROW($T26)-ROW(T$15),0)</f>
        <v>456.92</v>
      </c>
      <c r="U26" s="125">
        <f ca="1">AG26</f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97914</v>
      </c>
      <c r="AF26" s="13" t="str">
        <f t="shared" ca="1" si="19"/>
        <v>(abra o arquivo 'Referência 04-2024.xls)</v>
      </c>
      <c r="AG26" s="498">
        <f t="shared" ca="1" si="20"/>
        <v>0</v>
      </c>
      <c r="AH26" s="499">
        <f t="shared" ca="1" si="21"/>
        <v>0.22869999999999999</v>
      </c>
      <c r="AJ26" s="501">
        <v>194.522988</v>
      </c>
      <c r="AL26" s="527"/>
      <c r="AM26" s="380">
        <f t="shared" ca="1" si="0"/>
        <v>0</v>
      </c>
      <c r="AN26" s="566">
        <f t="shared" ca="1" si="22"/>
        <v>0</v>
      </c>
    </row>
    <row r="27" spans="1:40" ht="38.25" x14ac:dyDescent="0.2">
      <c r="A27" t="str">
        <f t="shared" si="1"/>
        <v>S</v>
      </c>
      <c r="B27">
        <f t="shared" ca="1" si="2"/>
        <v>3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IF($C27=1,OFFSET(E27,-1,0)+MAX(1,COUNTIF(QCI!$A$13:$A$15,OFFSET(ORÇAMENTO!E27,-1,0))),OFFSET(E27,-1,0))</f>
        <v>1</v>
      </c>
      <c r="F27">
        <f t="shared" ca="1" si="5"/>
        <v>4</v>
      </c>
      <c r="G27">
        <f t="shared" ca="1" si="6"/>
        <v>1</v>
      </c>
      <c r="H27">
        <f t="shared" ca="1" si="7"/>
        <v>0</v>
      </c>
      <c r="I27">
        <f t="shared" ca="1" si="8"/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IF(OR($C27="S",$C27=0),0,MATCH(OFFSET($D27,0,$C27)+IF($C27&lt;&gt;1,1,COUNTIF(QCI!$A$13:$A$15,ORÇAMENTO!E27)),OFFSET($D27,1,$C27,ROW($C$32)-ROW($C27)),0))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441</v>
      </c>
      <c r="R27" s="122" t="str">
        <f t="shared" ca="1" si="36"/>
        <v>(abra o arquivo 'Referência 04-2024.xls)</v>
      </c>
      <c r="S27" s="123" t="str">
        <f t="shared" ca="1" si="37"/>
        <v>-</v>
      </c>
      <c r="T27" s="124">
        <f ca="1">OFFSET(CÁLCULO!H$15,ROW($T27)-ROW(T$15),0)</f>
        <v>20.21</v>
      </c>
      <c r="U27" s="125">
        <f ca="1">AG27</f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13" t="str">
        <f t="shared" ca="1" si="19"/>
        <v>(abra o arquivo 'Referência 04-2024.xls)</v>
      </c>
      <c r="AG27" s="498">
        <f t="shared" ca="1" si="20"/>
        <v>0</v>
      </c>
      <c r="AH27" s="499">
        <f t="shared" ca="1" si="21"/>
        <v>0.22869999999999999</v>
      </c>
      <c r="AJ27" s="501">
        <v>97.261493999999999</v>
      </c>
      <c r="AL27" s="527"/>
      <c r="AM27" s="380">
        <f t="shared" ca="1" si="0"/>
        <v>0</v>
      </c>
      <c r="AN27" s="566">
        <f t="shared" ca="1" si="22"/>
        <v>0</v>
      </c>
    </row>
    <row r="28" spans="1:40" s="577" customFormat="1" ht="38.25" x14ac:dyDescent="0.2">
      <c r="A28" s="577" t="str">
        <f>CHOOSE(1+LOG(1+2*(ORÇAMENTO.Nivel="Meta")+4*(ORÇAMENTO.Nivel="Nível 2")+8*(ORÇAMENTO.Nivel="Nível 3")+16*(ORÇAMENTO.Nivel="Nível 4")+32*(ORÇAMENTO.Nivel="Serviço"),2),0,1,2,3,4,"S")</f>
        <v>S</v>
      </c>
      <c r="B28" s="577">
        <f ca="1">IF(OR(C28="s",C28=0),OFFSET(B28,-1,0),C28)</f>
        <v>3</v>
      </c>
      <c r="C28" s="577" t="str">
        <f ca="1">IF(OFFSET(C28,-1,0)="L",1,IF(OFFSET(C28,-1,0)=1,2,IF(OR(A28="s",A28=0),"S",IF(AND(OFFSET(C28,-1,0)=2,A28=4),3,IF(AND(OR(OFFSET(C28,-1,0)="s",OFFSET(C28,-1,0)=0),A28&lt;&gt;"s",A28&gt;OFFSET(B28,-1,0)),OFFSET(B28,-1,0),A28)))))</f>
        <v>S</v>
      </c>
      <c r="D28" s="577">
        <f ca="1">IF(OR(C28="S",C28=0),0,IF(ISERROR(K28),J28,SMALL(J28:K28,1)))</f>
        <v>0</v>
      </c>
      <c r="E28" s="577">
        <f ca="1">IF($C28=1,OFFSET(E28,-1,0)+MAX(1,COUNTIF(QCI!$A$13:$A$15,OFFSET(ORÇAMENTO!E28,-1,0))),OFFSET(E28,-1,0))</f>
        <v>1</v>
      </c>
      <c r="F28" s="577">
        <f ca="1">IF($C28=1,0,IF($C28=2,OFFSET(F28,-1,0)+1,OFFSET(F28,-1,0)))</f>
        <v>4</v>
      </c>
      <c r="G28" s="577">
        <f ca="1">IF(AND($C28&lt;=2,$C28&lt;&gt;0),0,IF($C28=3,OFFSET(G28,-1,0)+1,OFFSET(G28,-1,0)))</f>
        <v>1</v>
      </c>
      <c r="H28" s="577">
        <f ca="1">IF(AND($C28&lt;=3,$C28&lt;&gt;0),0,IF($C28=4,OFFSET(H28,-1,0)+1,OFFSET(H28,-1,0)))</f>
        <v>0</v>
      </c>
      <c r="I28" s="577">
        <f ca="1">IF(AND($C28&lt;=4,$C28&lt;&gt;0),0,IF(AND($C28="S",$X28&gt;0),OFFSET(I28,-1,0)+1,OFFSET(I28,-1,0)))</f>
        <v>0</v>
      </c>
      <c r="J28" s="577">
        <f t="shared" ca="1" si="9"/>
        <v>0</v>
      </c>
      <c r="K28" s="577">
        <f ca="1">IF(OR($C28="S",$C28=0),0,MATCH(OFFSET($D28,0,$C28)+IF($C28&lt;&gt;1,1,COUNTIF(QCI!$A$13:$A$15,ORÇAMENTO!E28)),OFFSET($D28,1,$C28,ROW($C$32)-ROW($C28)),0))</f>
        <v>0</v>
      </c>
      <c r="L28" s="116" t="str">
        <f ca="1">IF(OR($X28&gt;0,$C28=1,$C28=2,$C28=3,$C28=4),"F","")</f>
        <v/>
      </c>
      <c r="M28" s="117" t="s">
        <v>201</v>
      </c>
      <c r="N28" s="118" t="str">
        <f ca="1">CHOOSE(1+LOG(1+2*(C28=1)+4*(C28=2)+8*(C28=3)+16*(C28=4)+32*(C28="S"),2),"","Meta","Nível 2","Nível 3","Nível 4","Serviço")</f>
        <v>Serviço</v>
      </c>
      <c r="O28" s="119" t="str">
        <f ca="1">IF(OR($C28=0,$L28=""),"-",CONCATENATE(E28&amp;".",IF(AND($A$5&gt;=2,$C28&gt;=2),F28&amp;".",""),IF(AND($A$5&gt;=3,$C28&gt;=3),G28&amp;".",""),IF(AND($A$5&gt;=4,$C28&gt;=4),H28&amp;".",""),IF($C28="S",I28&amp;".","")))</f>
        <v>-</v>
      </c>
      <c r="P28" s="120" t="s">
        <v>249</v>
      </c>
      <c r="Q28" s="121" t="s">
        <v>442</v>
      </c>
      <c r="R28" s="122" t="str">
        <f t="shared" ca="1" si="36"/>
        <v>(abra o arquivo 'Referência 04-2024.xls)</v>
      </c>
      <c r="S28" s="123" t="str">
        <f ca="1">REFERENCIA.Unidade</f>
        <v>-</v>
      </c>
      <c r="T28" s="124">
        <f ca="1">OFFSET(CÁLCULO!H$15,ROW($T28)-ROW(T$15),0)</f>
        <v>13.27</v>
      </c>
      <c r="U28" s="125">
        <f ca="1">AG28</f>
        <v>0</v>
      </c>
      <c r="V28" s="126" t="s">
        <v>158</v>
      </c>
      <c r="W28" s="124">
        <f ca="1">IF($C28="S",ROUND(IF(TIPOORCAMENTO="Proposto",ORÇAMENTO.CustoUnitario*(1+$AH28),ORÇAMENTO.PrecoUnitarioLicitado),15-13*$AF$10),0)</f>
        <v>0</v>
      </c>
      <c r="X28" s="127">
        <f ca="1">IF($C28="S",VTOTAL1,IF($C28=0,0,ROUND(SomaAgrup,15-13*$AF$11)))</f>
        <v>0</v>
      </c>
      <c r="Y28" s="128" t="s">
        <v>247</v>
      </c>
      <c r="Z28" s="577" t="str">
        <f ca="1">IF(AND($C28="S",$X28&gt;0),IF(ISBLANK($Y28),"RA",LEFT($Y28,2)),"")</f>
        <v/>
      </c>
      <c r="AA28" s="129">
        <f ca="1">IF($C28="S",IF($Z28="CP",$X28,IF($Z28="RA",(($X28)*QCI!$AA$3),0)),SomaAgrup)</f>
        <v>0</v>
      </c>
      <c r="AB28" s="130">
        <f ca="1">IF($C28="S",IF($Z28="OU",ROUND($X28,2),0),SomaAgrup)</f>
        <v>0</v>
      </c>
      <c r="AC28" s="131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s="577" t="str">
        <f ca="1">IF(C28&lt;=CRONO.NivelExibicao,MAX($AD$15:OFFSET(AD28,-1,0))+IF($C28&lt;&gt;1,1,MAX(1,COUNTIF(QCI!$A$13:$A$15,OFFSET($E28,-1,0)))),"")</f>
        <v/>
      </c>
      <c r="AE28" s="7" t="str">
        <f ca="1">IF(AND($C28="S",ORÇAMENTO.CodBarra&lt;&gt;""),IF(ORÇAMENTO.Fonte="",ORÇAMENTO.CodBarra,CONCATENATE(ORÇAMENTO.Fonte," ",ORÇAMENTO.CodBarra)))</f>
        <v>SINAPI 93590</v>
      </c>
      <c r="AF28" s="576" t="str">
        <f ca="1">IF(ISERROR(INDIRECT(ORÇAMENTO.BancoRef)),"(abra o arquivo 'Referência "&amp;Excel_BuiltIn_Database&amp;".xls)",IF(OR($C28&lt;&gt;"S",ORÇAMENTO.CodBarra=""),"(Sem Código)",IF(ISERROR(MATCH($AE28,INDIRECT(ORÇAMENTO.BancoRef),0)),"(Código não identificado nas referências)",MATCH($AE28,INDIRECT(ORÇAMENTO.BancoRef),0))))</f>
        <v>(abra o arquivo 'Referência 04-2024.xls)</v>
      </c>
      <c r="AG28" s="498">
        <f ca="1">ROUND(IF(DESONERACAO="sim",REFERENCIA.Desonerado,REFERENCIA.NaoDesonerado),2)</f>
        <v>0</v>
      </c>
      <c r="AH28" s="499">
        <f ca="1">ROUND(IF(ISNUMBER(ORÇAMENTO.OpcaoBDI),ORÇAMENTO.OpcaoBDI,IF(LEFT(ORÇAMENTO.OpcaoBDI,3)="BDI",HLOOKUP(ORÇAMENTO.OpcaoBDI,$F$4:$H$5,2,FALSE),0)),15-11*$AF$9)</f>
        <v>0.22869999999999999</v>
      </c>
      <c r="AJ28" s="501"/>
      <c r="AL28" s="527"/>
      <c r="AM28" s="380">
        <f t="shared" ca="1" si="0"/>
        <v>0</v>
      </c>
      <c r="AN28" s="566">
        <f ca="1">ROUND(ORÇAMENTO.CustoUnitario*(1+$AH28),2)</f>
        <v>0</v>
      </c>
    </row>
    <row r="29" spans="1:40" x14ac:dyDescent="0.2">
      <c r="A29">
        <f t="shared" ref="A29:A30" si="38">CHOOSE(1+LOG(1+2*(ORÇAMENTO.Nivel="Meta")+4*(ORÇAMENTO.Nivel="Nível 2")+8*(ORÇAMENTO.Nivel="Nível 3")+16*(ORÇAMENTO.Nivel="Nível 4")+32*(ORÇAMENTO.Nivel="Serviço"),2),0,1,2,3,4,"S")</f>
        <v>2</v>
      </c>
      <c r="B29">
        <f t="shared" ref="B29:B30" ca="1" si="39">IF(OR(C29="s",C29=0),OFFSET(B29,-1,0),C29)</f>
        <v>2</v>
      </c>
      <c r="C29">
        <f t="shared" ref="C29:C30" ca="1" si="40">IF(OFFSET(C29,-1,0)="L",1,IF(OFFSET(C29,-1,0)=1,2,IF(OR(A29="s",A29=0),"S",IF(AND(OFFSET(C29,-1,0)=2,A29=4),3,IF(AND(OR(OFFSET(C29,-1,0)="s",OFFSET(C29,-1,0)=0),A29&lt;&gt;"s",A29&gt;OFFSET(B29,-1,0)),OFFSET(B29,-1,0),A29)))))</f>
        <v>2</v>
      </c>
      <c r="D29">
        <f t="shared" ref="D29:D30" ca="1" si="41">IF(OR(C29="S",C29=0),0,IF(ISERROR(K29),J29,SMALL(J29:K29,1)))</f>
        <v>3</v>
      </c>
      <c r="E29">
        <f ca="1">IF($C29=1,OFFSET(E29,-1,0)+MAX(1,COUNTIF(QCI!$A$13:$A$15,OFFSET(ORÇAMENTO!E29,-1,0))),OFFSET(E29,-1,0))</f>
        <v>1</v>
      </c>
      <c r="F29">
        <f t="shared" ref="F29:F30" ca="1" si="42">IF($C29=1,0,IF($C29=2,OFFSET(F29,-1,0)+1,OFFSET(F29,-1,0)))</f>
        <v>5</v>
      </c>
      <c r="G29">
        <f t="shared" ref="G29:G30" ca="1" si="43">IF(AND($C29&lt;=2,$C29&lt;&gt;0),0,IF($C29=3,OFFSET(G29,-1,0)+1,OFFSET(G29,-1,0)))</f>
        <v>0</v>
      </c>
      <c r="H29">
        <f t="shared" ref="H29:H30" ca="1" si="44">IF(AND($C29&lt;=3,$C29&lt;&gt;0),0,IF($C29=4,OFFSET(H29,-1,0)+1,OFFSET(H29,-1,0)))</f>
        <v>0</v>
      </c>
      <c r="I29">
        <f t="shared" ref="I29:I30" ca="1" si="45">IF(AND($C29&lt;=4,$C29&lt;&gt;0),0,IF(AND($C29="S",$X29&gt;0),OFFSET(I29,-1,0)+1,OFFSET(I29,-1,0)))</f>
        <v>0</v>
      </c>
      <c r="J29">
        <f t="shared" ca="1" si="9"/>
        <v>3</v>
      </c>
      <c r="K29" t="e">
        <f ca="1">IF(OR($C29="S",$C29=0),0,MATCH(OFFSET($D29,0,$C29)+IF($C29&lt;&gt;1,1,COUNTIF(QCI!$A$13:$A$15,ORÇAMENTO!E29)),OFFSET($D29,1,$C29,ROW($C$32)-ROW($C29)),0))</f>
        <v>#N/A</v>
      </c>
      <c r="L29" s="116" t="str">
        <f t="shared" ref="L29:L30" ca="1" si="46">IF(OR($X29&gt;0,$C29=1,$C29=2,$C29=3,$C29=4),"F","")</f>
        <v>F</v>
      </c>
      <c r="M29" s="117" t="s">
        <v>198</v>
      </c>
      <c r="N29" s="118" t="str">
        <f t="shared" ref="N29:N30" ca="1" si="47">CHOOSE(1+LOG(1+2*(C29=1)+4*(C29=2)+8*(C29=3)+16*(C29=4)+32*(C29="S"),2),"","Meta","Nível 2","Nível 3","Nível 4","Serviço")</f>
        <v>Nível 2</v>
      </c>
      <c r="O29" s="119" t="str">
        <f t="shared" ref="O29:O30" ca="1" si="48">IF(OR($C29=0,$L29=""),"-",CONCATENATE(E29&amp;".",IF(AND($A$5&gt;=2,$C29&gt;=2),F29&amp;".",""),IF(AND($A$5&gt;=3,$C29&gt;=3),G29&amp;".",""),IF(AND($A$5&gt;=4,$C29&gt;=4),H29&amp;".",""),IF($C29="S",I29&amp;".","")))</f>
        <v>1.5.</v>
      </c>
      <c r="P29" s="120" t="s">
        <v>249</v>
      </c>
      <c r="Q29" s="121"/>
      <c r="R29" s="122" t="s">
        <v>459</v>
      </c>
      <c r="S29" s="123" t="str">
        <f t="shared" ref="S29:S30" ca="1" si="49">REFERENCIA.Unidade</f>
        <v>-</v>
      </c>
      <c r="T29" s="124">
        <f ca="1">OFFSET(CÁLCULO!H$15,ROW($T29)-ROW(T$15),0)</f>
        <v>0</v>
      </c>
      <c r="U29" s="125">
        <f t="shared" ref="U29" ca="1" si="50">AG29</f>
        <v>0</v>
      </c>
      <c r="V29" s="126" t="s">
        <v>158</v>
      </c>
      <c r="W29" s="124">
        <f t="shared" ref="W29:W30" ca="1" si="51">IF($C29="S",ROUND(IF(TIPOORCAMENTO="Proposto",ORÇAMENTO.CustoUnitario*(1+$AH29),ORÇAMENTO.PrecoUnitarioLicitado),15-13*$AF$10),0)</f>
        <v>0</v>
      </c>
      <c r="X29" s="127">
        <f t="shared" ref="X29:X30" ca="1" si="52">IF($C29="S",VTOTAL1,IF($C29=0,0,ROUND(SomaAgrup,15-13*$AF$11)))</f>
        <v>0</v>
      </c>
      <c r="Y29" s="128" t="s">
        <v>247</v>
      </c>
      <c r="Z29" t="str">
        <f t="shared" ref="Z29:Z30" ca="1" si="53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t="shared" ref="AB29:AB30" ca="1" si="54">IF($C29="S",IF($Z29="OU",ROUND($X29,2),0),SomaAgrup)</f>
        <v>0</v>
      </c>
      <c r="AC29" s="131" t="str">
        <f t="shared" ref="AC29:AC30" ca="1" si="55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>
        <f ca="1">IF(C29&lt;=CRONO.NivelExibicao,MAX($AD$15:OFFSET(AD29,-1,0))+IF($C29&lt;&gt;1,1,MAX(1,COUNTIF(QCI!$A$13:$A$15,OFFSET($E29,-1,0)))),"")</f>
        <v>6</v>
      </c>
      <c r="AE29" s="7" t="b">
        <f t="shared" ref="AE29:AE30" ca="1" si="56">IF(AND($C29="S",ORÇAMENTO.CodBarra&lt;&gt;""),IF(ORÇAMENTO.Fonte="",ORÇAMENTO.CodBarra,CONCATENATE(ORÇAMENTO.Fonte," ",ORÇAMENTO.CodBarra)))</f>
        <v>0</v>
      </c>
      <c r="AF29" s="13" t="str">
        <f t="shared" ref="AF29:AF30" ca="1" si="57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t="shared" ref="AG29:AG30" ca="1" si="58">ROUND(IF(DESONERACAO="sim",REFERENCIA.Desonerado,REFERENCIA.NaoDesonerado),2)</f>
        <v>0</v>
      </c>
      <c r="AH29" s="499">
        <f t="shared" ref="AH29:AH30" ca="1" si="59">ROUND(IF(ISNUMBER(ORÇAMENTO.OpcaoBDI),ORÇAMENTO.OpcaoBDI,IF(LEFT(ORÇAMENTO.OpcaoBDI,3)="BDI",HLOOKUP(ORÇAMENTO.OpcaoBDI,$F$4:$H$5,2,FALSE),0)),15-11*$AF$9)</f>
        <v>0.22869999999999999</v>
      </c>
      <c r="AJ29" s="501"/>
      <c r="AL29" s="527"/>
      <c r="AM29" s="380">
        <f t="shared" ca="1" si="0"/>
        <v>0</v>
      </c>
      <c r="AN29" s="566">
        <f t="shared" ref="AN29:AN30" ca="1" si="60">ROUND(ORÇAMENTO.CustoUnitario*(1+$AH29),2)</f>
        <v>0</v>
      </c>
    </row>
    <row r="30" spans="1:40" ht="25.5" x14ac:dyDescent="0.2">
      <c r="A30" t="str">
        <f t="shared" si="38"/>
        <v>S</v>
      </c>
      <c r="B30">
        <f t="shared" ca="1" si="39"/>
        <v>2</v>
      </c>
      <c r="C30" t="str">
        <f t="shared" ca="1" si="40"/>
        <v>S</v>
      </c>
      <c r="D30">
        <f t="shared" ca="1" si="41"/>
        <v>0</v>
      </c>
      <c r="E30">
        <f ca="1">IF($C30=1,OFFSET(E30,-1,0)+MAX(1,COUNTIF(QCI!$A$13:$A$15,OFFSET(ORÇAMENTO!E30,-1,0))),OFFSET(E30,-1,0))</f>
        <v>1</v>
      </c>
      <c r="F30">
        <f t="shared" ca="1" si="42"/>
        <v>5</v>
      </c>
      <c r="G30">
        <f t="shared" ca="1" si="43"/>
        <v>0</v>
      </c>
      <c r="H30">
        <f t="shared" ca="1" si="44"/>
        <v>0</v>
      </c>
      <c r="I30">
        <f t="shared" ca="1" si="45"/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IF(OR($C30="S",$C30=0),0,MATCH(OFFSET($D30,0,$C30)+IF($C30&lt;&gt;1,1,COUNTIF(QCI!$A$13:$A$15,ORÇAMENTO!E30)),OFFSET($D30,1,$C30,ROW($C$32)-ROW($C30)),0))</f>
        <v>0</v>
      </c>
      <c r="L30" s="116" t="str">
        <f t="shared" ca="1" si="46"/>
        <v/>
      </c>
      <c r="M30" s="117" t="s">
        <v>201</v>
      </c>
      <c r="N30" s="118" t="str">
        <f t="shared" ca="1" si="47"/>
        <v>Serviço</v>
      </c>
      <c r="O30" s="119" t="str">
        <f t="shared" ca="1" si="48"/>
        <v>-</v>
      </c>
      <c r="P30" s="120" t="s">
        <v>461</v>
      </c>
      <c r="Q30" s="121" t="s">
        <v>460</v>
      </c>
      <c r="R30" s="122" t="str">
        <f ca="1">IF($C30="S",REFERENCIA.Descricao,"(digite a descrição aqui)")</f>
        <v>(abra o arquivo 'Referência 04-2024.xls)</v>
      </c>
      <c r="S30" s="123" t="str">
        <f t="shared" ca="1" si="49"/>
        <v>-</v>
      </c>
      <c r="T30" s="124">
        <f ca="1">OFFSET(CÁLCULO!H$15,ROW($T30)-ROW(T$15),0)</f>
        <v>1</v>
      </c>
      <c r="U30" s="125">
        <f t="shared" ref="U30:U31" ca="1" si="61">AG30</f>
        <v>0</v>
      </c>
      <c r="V30" s="126" t="s">
        <v>158</v>
      </c>
      <c r="W30" s="124">
        <f t="shared" ca="1" si="51"/>
        <v>0</v>
      </c>
      <c r="X30" s="127">
        <f t="shared" ca="1" si="52"/>
        <v>0</v>
      </c>
      <c r="Y30" s="128" t="s">
        <v>247</v>
      </c>
      <c r="Z30" t="str">
        <f t="shared" ca="1" si="53"/>
        <v/>
      </c>
      <c r="AA30" s="129">
        <f ca="1">IF($C30="S",IF($Z30="CP",$X30,IF($Z30="RA",(($X30)*QCI!$AA$3),0)),SomaAgrup)</f>
        <v>0</v>
      </c>
      <c r="AB30" s="130">
        <f t="shared" ca="1" si="54"/>
        <v>0</v>
      </c>
      <c r="AC30" s="131" t="str">
        <f t="shared" ca="1" si="55"/>
        <v/>
      </c>
      <c r="AD30" t="str">
        <f ca="1">IF(C30&lt;=CRONO.NivelExibicao,MAX($AD$15:OFFSET(AD30,-1,0))+IF($C30&lt;&gt;1,1,MAX(1,COUNTIF(QCI!$A$13:$A$15,OFFSET($E30,-1,0)))),"")</f>
        <v/>
      </c>
      <c r="AE30" s="7" t="str">
        <f t="shared" ca="1" si="56"/>
        <v>COMPOSIÇÃO 007</v>
      </c>
      <c r="AF30" s="13" t="str">
        <f t="shared" ca="1" si="57"/>
        <v>(abra o arquivo 'Referência 04-2024.xls)</v>
      </c>
      <c r="AG30" s="498">
        <f t="shared" ca="1" si="58"/>
        <v>0</v>
      </c>
      <c r="AH30" s="499">
        <f t="shared" ca="1" si="59"/>
        <v>0.22869999999999999</v>
      </c>
      <c r="AJ30" s="501">
        <v>4</v>
      </c>
      <c r="AL30" s="527"/>
      <c r="AM30" s="380">
        <f t="shared" ca="1" si="0"/>
        <v>0</v>
      </c>
      <c r="AN30" s="566">
        <f t="shared" ca="1" si="60"/>
        <v>0</v>
      </c>
    </row>
    <row r="31" spans="1:40" s="575" customFormat="1" ht="25.5" x14ac:dyDescent="0.2">
      <c r="A31" s="575" t="str">
        <f>CHOOSE(1+LOG(1+2*(ORÇAMENTO.Nivel="Meta")+4*(ORÇAMENTO.Nivel="Nível 2")+8*(ORÇAMENTO.Nivel="Nível 3")+16*(ORÇAMENTO.Nivel="Nível 4")+32*(ORÇAMENTO.Nivel="Serviço"),2),0,1,2,3,4,"S")</f>
        <v>S</v>
      </c>
      <c r="B31" s="575">
        <f ca="1">IF(OR(C31="s",C31=0),OFFSET(B31,-1,0),C31)</f>
        <v>2</v>
      </c>
      <c r="C31" s="575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 s="575">
        <f ca="1">IF(OR(C31="S",C31=0),0,IF(ISERROR(K31),J31,SMALL(J31:K31,1)))</f>
        <v>0</v>
      </c>
      <c r="E31" s="575">
        <f ca="1">IF($C31=1,OFFSET(E31,-1,0)+MAX(1,COUNTIF(QCI!$A$13:$A$15,OFFSET(ORÇAMENTO!E31,-1,0))),OFFSET(E31,-1,0))</f>
        <v>1</v>
      </c>
      <c r="F31" s="575">
        <f ca="1">IF($C31=1,0,IF($C31=2,OFFSET(F31,-1,0)+1,OFFSET(F31,-1,0)))</f>
        <v>5</v>
      </c>
      <c r="G31" s="575">
        <f ca="1">IF(AND($C31&lt;=2,$C31&lt;&gt;0),0,IF($C31=3,OFFSET(G31,-1,0)+1,OFFSET(G31,-1,0)))</f>
        <v>0</v>
      </c>
      <c r="H31" s="575">
        <f ca="1">IF(AND($C31&lt;=3,$C31&lt;&gt;0),0,IF($C31=4,OFFSET(H31,-1,0)+1,OFFSET(H31,-1,0)))</f>
        <v>0</v>
      </c>
      <c r="I31" s="575">
        <f ca="1">IF(AND($C31&lt;=4,$C31&lt;&gt;0),0,IF(AND($C31="S",$X31&gt;0),OFFSET(I31,-1,0)+1,OFFSET(I31,-1,0)))</f>
        <v>0</v>
      </c>
      <c r="J31" s="575">
        <f t="shared" ca="1" si="9"/>
        <v>0</v>
      </c>
      <c r="K31" s="575">
        <f ca="1">IF(OR($C31="S",$C31=0),0,MATCH(OFFSET($D31,0,$C31)+IF($C31&lt;&gt;1,1,COUNTIF(QCI!$A$13:$A$15,ORÇAMENTO!E31)),OFFSET($D31,1,$C31,ROW($C$32)-ROW($C31)),0))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462</v>
      </c>
      <c r="Q31" s="121" t="s">
        <v>479</v>
      </c>
      <c r="R31" s="122" t="str">
        <f ca="1">IF($C31="S",REFERENCIA.Descricao,"(digite a descrição aqui)")</f>
        <v>(abra o arquivo 'Referência 04-2024.xls)</v>
      </c>
      <c r="S31" s="123" t="str">
        <f ca="1">REFERENCIA.Unidade</f>
        <v>-</v>
      </c>
      <c r="T31" s="124">
        <f ca="1">OFFSET(CÁLCULO!H$15,ROW($T31)-ROW(T$15),0)</f>
        <v>1</v>
      </c>
      <c r="U31" s="125">
        <f t="shared" ca="1" si="61"/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s="575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s="575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Composição 006</v>
      </c>
      <c r="AF31" s="574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04-2024.xls)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0.22869999999999999</v>
      </c>
      <c r="AJ31" s="501"/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5.0999999999999996" customHeight="1" x14ac:dyDescent="0.2">
      <c r="A32">
        <v>-1</v>
      </c>
      <c r="C32">
        <v>-1</v>
      </c>
      <c r="E32">
        <v>0</v>
      </c>
      <c r="F32">
        <v>0</v>
      </c>
      <c r="G32">
        <v>0</v>
      </c>
      <c r="H32">
        <v>0</v>
      </c>
      <c r="I32">
        <v>0</v>
      </c>
      <c r="L32" s="116" t="s">
        <v>248</v>
      </c>
      <c r="M32" s="492"/>
      <c r="N32" s="493"/>
      <c r="O32" s="492"/>
      <c r="P32" s="494"/>
      <c r="Q32" s="494"/>
      <c r="R32" s="494"/>
      <c r="S32" s="494"/>
      <c r="T32" s="494"/>
      <c r="U32" s="494"/>
      <c r="V32" s="494"/>
      <c r="W32" s="494"/>
      <c r="X32" s="493"/>
      <c r="AG32" s="484"/>
      <c r="AH32" s="486"/>
      <c r="AJ32" s="495"/>
      <c r="AL32" s="484"/>
      <c r="AM32" s="485"/>
      <c r="AN32" s="486"/>
    </row>
    <row r="35" spans="15:28" ht="14.25" x14ac:dyDescent="0.2">
      <c r="O35" s="140" t="s">
        <v>250</v>
      </c>
      <c r="Q35" s="614" t="s">
        <v>251</v>
      </c>
      <c r="R35" s="614"/>
      <c r="S35" s="614"/>
      <c r="T35" s="614"/>
      <c r="U35" s="614"/>
      <c r="V35" s="614"/>
      <c r="W35" s="614"/>
      <c r="X35" s="614"/>
    </row>
    <row r="37" spans="15:28" ht="14.25" x14ac:dyDescent="0.2">
      <c r="O37" s="141" t="s">
        <v>189</v>
      </c>
      <c r="X37" s="4"/>
    </row>
    <row r="38" spans="15:28" ht="12.75" customHeight="1" x14ac:dyDescent="0.2">
      <c r="O38" s="615"/>
      <c r="P38" s="615"/>
      <c r="Q38" s="615"/>
      <c r="R38" s="615"/>
      <c r="S38" s="615"/>
      <c r="T38" s="615"/>
      <c r="U38" s="615"/>
      <c r="V38" s="615"/>
      <c r="W38" s="615"/>
      <c r="X38" s="615"/>
    </row>
    <row r="39" spans="15:28" x14ac:dyDescent="0.2">
      <c r="O39" s="615"/>
      <c r="P39" s="615"/>
      <c r="Q39" s="615"/>
      <c r="R39" s="615"/>
      <c r="S39" s="615"/>
      <c r="T39" s="615"/>
      <c r="U39" s="615"/>
      <c r="V39" s="615"/>
      <c r="W39" s="615"/>
      <c r="X39" s="615"/>
    </row>
    <row r="40" spans="15:28" x14ac:dyDescent="0.2">
      <c r="O40" s="615"/>
      <c r="P40" s="615"/>
      <c r="Q40" s="615"/>
      <c r="R40" s="615"/>
      <c r="S40" s="615"/>
      <c r="T40" s="615"/>
      <c r="U40" s="615"/>
      <c r="V40" s="615"/>
      <c r="W40" s="615"/>
      <c r="X40" s="615"/>
    </row>
    <row r="41" spans="15:28" ht="14.25" x14ac:dyDescent="0.2">
      <c r="O41" s="534"/>
      <c r="P41" s="534"/>
      <c r="Q41" s="534"/>
      <c r="R41" s="534"/>
      <c r="S41" s="534"/>
      <c r="T41" s="534"/>
      <c r="U41" s="534"/>
      <c r="V41" s="534"/>
      <c r="W41" s="534"/>
      <c r="X41" s="534"/>
      <c r="Y41" s="534"/>
      <c r="Z41" s="142"/>
      <c r="AA41" s="142"/>
      <c r="AB41" s="142"/>
    </row>
    <row r="42" spans="15:28" ht="15" x14ac:dyDescent="0.25">
      <c r="O42" s="616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42" s="616"/>
      <c r="Q42" s="616"/>
      <c r="R42" s="616"/>
      <c r="S42" s="616"/>
      <c r="T42" s="616"/>
      <c r="U42" s="616"/>
      <c r="V42" s="616"/>
      <c r="W42" s="616"/>
      <c r="X42" s="616"/>
      <c r="Y42" s="143"/>
      <c r="Z42" s="143"/>
      <c r="AA42" s="143"/>
      <c r="AB42" s="143"/>
    </row>
    <row r="43" spans="15:28" ht="15" customHeight="1" x14ac:dyDescent="0.25">
      <c r="O43" s="618" t="s">
        <v>252</v>
      </c>
      <c r="P43" s="618"/>
      <c r="Q43" s="618"/>
      <c r="R43" s="618"/>
      <c r="S43" s="618"/>
      <c r="T43" s="618"/>
      <c r="U43" s="618"/>
      <c r="V43" s="618"/>
      <c r="W43" s="618"/>
      <c r="X43" s="618"/>
      <c r="Y43" s="143"/>
      <c r="Z43" s="143"/>
      <c r="AA43" s="143"/>
      <c r="AB43" s="143"/>
    </row>
    <row r="45" spans="15:28" ht="30" customHeight="1" x14ac:dyDescent="0.2">
      <c r="O45" s="617" t="str">
        <f>Import.Município</f>
        <v>Caçapava do Sul/RS</v>
      </c>
      <c r="P45" s="617"/>
      <c r="Q45" s="617"/>
      <c r="S45" s="553"/>
      <c r="T45" s="553"/>
      <c r="U45" s="553"/>
      <c r="V45" s="553"/>
      <c r="W45" s="479"/>
    </row>
    <row r="46" spans="15:28" x14ac:dyDescent="0.2">
      <c r="O46" s="10" t="s">
        <v>190</v>
      </c>
      <c r="S46" s="194" t="s">
        <v>192</v>
      </c>
      <c r="T46" s="194"/>
      <c r="U46" s="194"/>
      <c r="V46" s="194"/>
    </row>
    <row r="47" spans="15:28" x14ac:dyDescent="0.2">
      <c r="S47" s="78" t="s">
        <v>109</v>
      </c>
      <c r="T47" s="79" t="str">
        <f t="array" ref="T47:T49">Import.RespOrçamento</f>
        <v>Fernando Cesar Nubias Pereira</v>
      </c>
      <c r="V47" s="80"/>
    </row>
    <row r="48" spans="15:28" x14ac:dyDescent="0.2">
      <c r="O48" s="612">
        <f ca="1">DADOS!$F$25</f>
        <v>45545</v>
      </c>
      <c r="P48" s="612"/>
      <c r="Q48" s="612"/>
      <c r="S48" s="78" t="s">
        <v>110</v>
      </c>
      <c r="T48" s="79" t="str">
        <v>RS A - 228673-4</v>
      </c>
      <c r="U48" s="80"/>
      <c r="V48" s="80"/>
    </row>
    <row r="49" spans="15:22" x14ac:dyDescent="0.2">
      <c r="O49" s="146" t="s">
        <v>191</v>
      </c>
      <c r="P49" s="1"/>
      <c r="Q49" s="1"/>
      <c r="S49" s="78" t="s">
        <v>111</v>
      </c>
      <c r="T49" s="79" t="str">
        <v>13882809</v>
      </c>
      <c r="U49" s="80"/>
      <c r="V49" s="80"/>
    </row>
  </sheetData>
  <sheetProtection password="BD1F" sheet="1" objects="1" scenarios="1" autoFilter="0"/>
  <autoFilter ref="L15:L32"/>
  <mergeCells count="24">
    <mergeCell ref="AE5:AF5"/>
    <mergeCell ref="O7:P7"/>
    <mergeCell ref="S7:U7"/>
    <mergeCell ref="AL7:AL11"/>
    <mergeCell ref="Y8:Y12"/>
    <mergeCell ref="Z8:Z12"/>
    <mergeCell ref="AA12:AB12"/>
    <mergeCell ref="AJ7:AJ11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O48:Q48"/>
    <mergeCell ref="O15:R15"/>
    <mergeCell ref="Q35:X35"/>
    <mergeCell ref="O38:X40"/>
    <mergeCell ref="O42:X42"/>
    <mergeCell ref="O45:Q45"/>
    <mergeCell ref="O43:X43"/>
  </mergeCells>
  <phoneticPr fontId="38" type="noConversion"/>
  <conditionalFormatting sqref="M14 M26:M27 M30 M20:M23">
    <cfRule type="cellIs" dxfId="296" priority="9652" stopIfTrue="1" operator="notEqual">
      <formula>$N14</formula>
    </cfRule>
  </conditionalFormatting>
  <conditionalFormatting sqref="N14:O14 R14 W14:X14 W23:X23 N23:O23 N20:O20 R20 W20:X20 N26:O27 W26:X27 N30:O30 W30:X30 R26:R30">
    <cfRule type="expression" dxfId="295" priority="9653" stopIfTrue="1">
      <formula>$C14=1</formula>
    </cfRule>
    <cfRule type="expression" dxfId="294" priority="9654" stopIfTrue="1">
      <formula>OR($C14=0,$C14=2,$C14=3,$C14=4)</formula>
    </cfRule>
  </conditionalFormatting>
  <conditionalFormatting sqref="U14:V14 U20:V20 U26:V27 V30 U23:V23 U25 U28:U31">
    <cfRule type="expression" dxfId="293" priority="9655" stopIfTrue="1">
      <formula>$C14=1</formula>
    </cfRule>
    <cfRule type="expression" dxfId="292" priority="9656" stopIfTrue="1">
      <formula>OR($C14=0,$C14=2,$C14=3,$C14=4)</formula>
    </cfRule>
    <cfRule type="expression" dxfId="291" priority="9657" stopIfTrue="1">
      <formula>AND(TIPOORCAMENTO="Licitado",$C14&lt;&gt;"L",$C14&lt;&gt;-1)</formula>
    </cfRule>
  </conditionalFormatting>
  <conditionalFormatting sqref="P14:Q14 S14:T14 Y14 AG14:AH14 S20:T22 P26:Q27 S26:T27 Y26:Y27 AG26:AH27 P30:Q30 S30:T30 Y30 AG30:AH30 P20:Q23 Y20:Y23 AG20:AH23">
    <cfRule type="expression" dxfId="290" priority="9658" stopIfTrue="1">
      <formula>$C14=1</formula>
    </cfRule>
    <cfRule type="expression" dxfId="289" priority="9659" stopIfTrue="1">
      <formula>OR($C14=0,$C14=2,$C14=3,$C14=4)</formula>
    </cfRule>
  </conditionalFormatting>
  <conditionalFormatting sqref="AJ7:AJ15 AJ26:AJ27 AJ30 AJ32 AJ20:AJ23">
    <cfRule type="expression" dxfId="288" priority="9660" stopIfTrue="1">
      <formula>OR(ACOMPANHAMENTO&lt;&gt;"BM",TIPOORCAMENTO="Licitado")</formula>
    </cfRule>
    <cfRule type="expression" dxfId="287" priority="9661" stopIfTrue="1">
      <formula>$C7=1</formula>
    </cfRule>
    <cfRule type="expression" dxfId="286" priority="9662" stopIfTrue="1">
      <formula>OR(AND(ISNUMBER($C7),$C7=0),$C7=2,$C7=3,$C7=4)</formula>
    </cfRule>
  </conditionalFormatting>
  <conditionalFormatting sqref="AL7:AL15 AL26:AL27 AL30 AL32 AL20:AL23">
    <cfRule type="expression" dxfId="285" priority="9663" stopIfTrue="1">
      <formula>TIPOORCAMENTO="PROPOSTO"</formula>
    </cfRule>
    <cfRule type="expression" dxfId="284" priority="9664" stopIfTrue="1">
      <formula>$C7=1</formula>
    </cfRule>
    <cfRule type="expression" dxfId="283" priority="9665" stopIfTrue="1">
      <formula>OR(AND(ISNUMBER($C7),$C7=0),$C7=2,$C7=3,$C7=4)</formula>
    </cfRule>
  </conditionalFormatting>
  <conditionalFormatting sqref="O8:P8">
    <cfRule type="expression" dxfId="282" priority="9669" stopIfTrue="1">
      <formula>ISERROR(INDIRECT($F$9))</formula>
    </cfRule>
  </conditionalFormatting>
  <conditionalFormatting sqref="AM7:AN15 AM23:AN23 AM20:AN20 AM26:AN27 AM30:AN30 AM32:AN32">
    <cfRule type="expression" dxfId="281" priority="9666" stopIfTrue="1">
      <formula>TIPOORCAMENTO="PROPOSTO"</formula>
    </cfRule>
    <cfRule type="expression" dxfId="280" priority="9667" stopIfTrue="1">
      <formula>$C7=1</formula>
    </cfRule>
    <cfRule type="expression" dxfId="279" priority="9668" stopIfTrue="1">
      <formula>OR(AND(ISNUMBER($C7),$C7=0),$C7=2,$C7=3,$C7=4)</formula>
    </cfRule>
  </conditionalFormatting>
  <conditionalFormatting sqref="M16 M19">
    <cfRule type="cellIs" dxfId="278" priority="2334" stopIfTrue="1" operator="notEqual">
      <formula>$N16</formula>
    </cfRule>
  </conditionalFormatting>
  <conditionalFormatting sqref="R23 R16 N16:O16 W16:X16 W19:X19 N19:O19 R19">
    <cfRule type="expression" dxfId="277" priority="2335" stopIfTrue="1">
      <formula>$C16=1</formula>
    </cfRule>
    <cfRule type="expression" dxfId="276" priority="2336" stopIfTrue="1">
      <formula>OR($C16=0,$C16=2,$C16=3,$C16=4)</formula>
    </cfRule>
  </conditionalFormatting>
  <conditionalFormatting sqref="U16:V16 U19:V19">
    <cfRule type="expression" dxfId="275" priority="2337" stopIfTrue="1">
      <formula>$C16=1</formula>
    </cfRule>
    <cfRule type="expression" dxfId="274" priority="2338" stopIfTrue="1">
      <formula>OR($C16=0,$C16=2,$C16=3,$C16=4)</formula>
    </cfRule>
    <cfRule type="expression" dxfId="273" priority="2339" stopIfTrue="1">
      <formula>AND(TIPOORCAMENTO="Licitado",$C16&lt;&gt;"L",$C16&lt;&gt;-1)</formula>
    </cfRule>
  </conditionalFormatting>
  <conditionalFormatting sqref="S23:T23 S16:T16 P16:Q16 Y16 AG16:AH16 AG19:AH19 Y19 P19:Q19 S19:T19">
    <cfRule type="expression" dxfId="272" priority="2340" stopIfTrue="1">
      <formula>$C16=1</formula>
    </cfRule>
    <cfRule type="expression" dxfId="271" priority="2341" stopIfTrue="1">
      <formula>OR($C16=0,$C16=2,$C16=3,$C16=4)</formula>
    </cfRule>
  </conditionalFormatting>
  <conditionalFormatting sqref="AJ16 AJ19">
    <cfRule type="expression" dxfId="270" priority="2342" stopIfTrue="1">
      <formula>OR(ACOMPANHAMENTO&lt;&gt;"BM",TIPOORCAMENTO="Licitado")</formula>
    </cfRule>
    <cfRule type="expression" dxfId="269" priority="2343" stopIfTrue="1">
      <formula>$C16=1</formula>
    </cfRule>
    <cfRule type="expression" dxfId="268" priority="2344" stopIfTrue="1">
      <formula>OR(AND(ISNUMBER($C16),$C16=0),$C16=2,$C16=3,$C16=4)</formula>
    </cfRule>
  </conditionalFormatting>
  <conditionalFormatting sqref="AL16 AL19">
    <cfRule type="expression" dxfId="267" priority="2345" stopIfTrue="1">
      <formula>TIPOORCAMENTO="PROPOSTO"</formula>
    </cfRule>
    <cfRule type="expression" dxfId="266" priority="2346" stopIfTrue="1">
      <formula>$C16=1</formula>
    </cfRule>
    <cfRule type="expression" dxfId="265" priority="2347" stopIfTrue="1">
      <formula>OR(AND(ISNUMBER($C16),$C16=0),$C16=2,$C16=3,$C16=4)</formula>
    </cfRule>
  </conditionalFormatting>
  <conditionalFormatting sqref="AM16:AN16 AM19:AN19">
    <cfRule type="expression" dxfId="264" priority="2348" stopIfTrue="1">
      <formula>TIPOORCAMENTO="PROPOSTO"</formula>
    </cfRule>
    <cfRule type="expression" dxfId="263" priority="2349" stopIfTrue="1">
      <formula>$C16=1</formula>
    </cfRule>
    <cfRule type="expression" dxfId="262" priority="2350" stopIfTrue="1">
      <formula>OR(AND(ISNUMBER($C16),$C16=0),$C16=2,$C16=3,$C16=4)</formula>
    </cfRule>
  </conditionalFormatting>
  <conditionalFormatting sqref="M29">
    <cfRule type="cellIs" dxfId="261" priority="1197" stopIfTrue="1" operator="notEqual">
      <formula>$N29</formula>
    </cfRule>
  </conditionalFormatting>
  <conditionalFormatting sqref="N29:O29 W29:X29">
    <cfRule type="expression" dxfId="260" priority="1198" stopIfTrue="1">
      <formula>$C29=1</formula>
    </cfRule>
    <cfRule type="expression" dxfId="259" priority="1199" stopIfTrue="1">
      <formula>OR($C29=0,$C29=2,$C29=3,$C29=4)</formula>
    </cfRule>
  </conditionalFormatting>
  <conditionalFormatting sqref="V29">
    <cfRule type="expression" dxfId="258" priority="1200" stopIfTrue="1">
      <formula>$C29=1</formula>
    </cfRule>
    <cfRule type="expression" dxfId="257" priority="1201" stopIfTrue="1">
      <formula>OR($C29=0,$C29=2,$C29=3,$C29=4)</formula>
    </cfRule>
    <cfRule type="expression" dxfId="256" priority="1202" stopIfTrue="1">
      <formula>AND(TIPOORCAMENTO="Licitado",$C29&lt;&gt;"L",$C29&lt;&gt;-1)</formula>
    </cfRule>
  </conditionalFormatting>
  <conditionalFormatting sqref="P29:Q29 S29:T29 Y29 AG29:AH29">
    <cfRule type="expression" dxfId="255" priority="1203" stopIfTrue="1">
      <formula>$C29=1</formula>
    </cfRule>
    <cfRule type="expression" dxfId="254" priority="1204" stopIfTrue="1">
      <formula>OR($C29=0,$C29=2,$C29=3,$C29=4)</formula>
    </cfRule>
  </conditionalFormatting>
  <conditionalFormatting sqref="AJ29">
    <cfRule type="expression" dxfId="253" priority="1205" stopIfTrue="1">
      <formula>OR(ACOMPANHAMENTO&lt;&gt;"BM",TIPOORCAMENTO="Licitado")</formula>
    </cfRule>
    <cfRule type="expression" dxfId="252" priority="1206" stopIfTrue="1">
      <formula>$C29=1</formula>
    </cfRule>
    <cfRule type="expression" dxfId="251" priority="1207" stopIfTrue="1">
      <formula>OR(AND(ISNUMBER($C29),$C29=0),$C29=2,$C29=3,$C29=4)</formula>
    </cfRule>
  </conditionalFormatting>
  <conditionalFormatting sqref="AL29">
    <cfRule type="expression" dxfId="250" priority="1208" stopIfTrue="1">
      <formula>TIPOORCAMENTO="PROPOSTO"</formula>
    </cfRule>
    <cfRule type="expression" dxfId="249" priority="1209" stopIfTrue="1">
      <formula>$C29=1</formula>
    </cfRule>
    <cfRule type="expression" dxfId="248" priority="1210" stopIfTrue="1">
      <formula>OR(AND(ISNUMBER($C29),$C29=0),$C29=2,$C29=3,$C29=4)</formula>
    </cfRule>
  </conditionalFormatting>
  <conditionalFormatting sqref="AM29:AN29">
    <cfRule type="expression" dxfId="247" priority="1211" stopIfTrue="1">
      <formula>TIPOORCAMENTO="PROPOSTO"</formula>
    </cfRule>
    <cfRule type="expression" dxfId="246" priority="1212" stopIfTrue="1">
      <formula>$C29=1</formula>
    </cfRule>
    <cfRule type="expression" dxfId="245" priority="1213" stopIfTrue="1">
      <formula>OR(AND(ISNUMBER($C29),$C29=0),$C29=2,$C29=3,$C29=4)</formula>
    </cfRule>
  </conditionalFormatting>
  <conditionalFormatting sqref="M25">
    <cfRule type="cellIs" dxfId="244" priority="864" stopIfTrue="1" operator="notEqual">
      <formula>$N25</formula>
    </cfRule>
  </conditionalFormatting>
  <conditionalFormatting sqref="N25:O25 R25 W25:X25">
    <cfRule type="expression" dxfId="243" priority="865" stopIfTrue="1">
      <formula>$C25=1</formula>
    </cfRule>
    <cfRule type="expression" dxfId="242" priority="866" stopIfTrue="1">
      <formula>OR($C25=0,$C25=2,$C25=3,$C25=4)</formula>
    </cfRule>
  </conditionalFormatting>
  <conditionalFormatting sqref="V25">
    <cfRule type="expression" dxfId="241" priority="867" stopIfTrue="1">
      <formula>$C25=1</formula>
    </cfRule>
    <cfRule type="expression" dxfId="240" priority="868" stopIfTrue="1">
      <formula>OR($C25=0,$C25=2,$C25=3,$C25=4)</formula>
    </cfRule>
    <cfRule type="expression" dxfId="239" priority="869" stopIfTrue="1">
      <formula>AND(TIPOORCAMENTO="Licitado",$C25&lt;&gt;"L",$C25&lt;&gt;-1)</formula>
    </cfRule>
  </conditionalFormatting>
  <conditionalFormatting sqref="P25:Q25 S25:T25 Y25 AG25:AH25">
    <cfRule type="expression" dxfId="238" priority="870" stopIfTrue="1">
      <formula>$C25=1</formula>
    </cfRule>
    <cfRule type="expression" dxfId="237" priority="871" stopIfTrue="1">
      <formula>OR($C25=0,$C25=2,$C25=3,$C25=4)</formula>
    </cfRule>
  </conditionalFormatting>
  <conditionalFormatting sqref="AJ25">
    <cfRule type="expression" dxfId="236" priority="872" stopIfTrue="1">
      <formula>OR(ACOMPANHAMENTO&lt;&gt;"BM",TIPOORCAMENTO="Licitado")</formula>
    </cfRule>
    <cfRule type="expression" dxfId="235" priority="873" stopIfTrue="1">
      <formula>$C25=1</formula>
    </cfRule>
    <cfRule type="expression" dxfId="234" priority="874" stopIfTrue="1">
      <formula>OR(AND(ISNUMBER($C25),$C25=0),$C25=2,$C25=3,$C25=4)</formula>
    </cfRule>
  </conditionalFormatting>
  <conditionalFormatting sqref="AL25">
    <cfRule type="expression" dxfId="233" priority="875" stopIfTrue="1">
      <formula>TIPOORCAMENTO="PROPOSTO"</formula>
    </cfRule>
    <cfRule type="expression" dxfId="232" priority="876" stopIfTrue="1">
      <formula>$C25=1</formula>
    </cfRule>
    <cfRule type="expression" dxfId="231" priority="877" stopIfTrue="1">
      <formula>OR(AND(ISNUMBER($C25),$C25=0),$C25=2,$C25=3,$C25=4)</formula>
    </cfRule>
  </conditionalFormatting>
  <conditionalFormatting sqref="AM25:AN25">
    <cfRule type="expression" dxfId="230" priority="878" stopIfTrue="1">
      <formula>TIPOORCAMENTO="PROPOSTO"</formula>
    </cfRule>
    <cfRule type="expression" dxfId="229" priority="879" stopIfTrue="1">
      <formula>$C25=1</formula>
    </cfRule>
    <cfRule type="expression" dxfId="228" priority="880" stopIfTrue="1">
      <formula>OR(AND(ISNUMBER($C25),$C25=0),$C25=2,$C25=3,$C25=4)</formula>
    </cfRule>
  </conditionalFormatting>
  <conditionalFormatting sqref="M24">
    <cfRule type="cellIs" dxfId="227" priority="587" stopIfTrue="1" operator="notEqual">
      <formula>$N24</formula>
    </cfRule>
  </conditionalFormatting>
  <conditionalFormatting sqref="N24:O24 R24 W24:X24">
    <cfRule type="expression" dxfId="226" priority="588" stopIfTrue="1">
      <formula>$C24=1</formula>
    </cfRule>
    <cfRule type="expression" dxfId="225" priority="589" stopIfTrue="1">
      <formula>OR($C24=0,$C24=2,$C24=3,$C24=4)</formula>
    </cfRule>
  </conditionalFormatting>
  <conditionalFormatting sqref="U24:V24">
    <cfRule type="expression" dxfId="224" priority="590" stopIfTrue="1">
      <formula>$C24=1</formula>
    </cfRule>
    <cfRule type="expression" dxfId="223" priority="591" stopIfTrue="1">
      <formula>OR($C24=0,$C24=2,$C24=3,$C24=4)</formula>
    </cfRule>
    <cfRule type="expression" dxfId="222" priority="592" stopIfTrue="1">
      <formula>AND(TIPOORCAMENTO="Licitado",$C24&lt;&gt;"L",$C24&lt;&gt;-1)</formula>
    </cfRule>
  </conditionalFormatting>
  <conditionalFormatting sqref="P24:Q24 S24:T24 Y24 AG24:AH24">
    <cfRule type="expression" dxfId="221" priority="593" stopIfTrue="1">
      <formula>$C24=1</formula>
    </cfRule>
    <cfRule type="expression" dxfId="220" priority="594" stopIfTrue="1">
      <formula>OR($C24=0,$C24=2,$C24=3,$C24=4)</formula>
    </cfRule>
  </conditionalFormatting>
  <conditionalFormatting sqref="AJ24">
    <cfRule type="expression" dxfId="219" priority="595" stopIfTrue="1">
      <formula>OR(ACOMPANHAMENTO&lt;&gt;"BM",TIPOORCAMENTO="Licitado")</formula>
    </cfRule>
    <cfRule type="expression" dxfId="218" priority="596" stopIfTrue="1">
      <formula>$C24=1</formula>
    </cfRule>
    <cfRule type="expression" dxfId="217" priority="597" stopIfTrue="1">
      <formula>OR(AND(ISNUMBER($C24),$C24=0),$C24=2,$C24=3,$C24=4)</formula>
    </cfRule>
  </conditionalFormatting>
  <conditionalFormatting sqref="AL24">
    <cfRule type="expression" dxfId="216" priority="598" stopIfTrue="1">
      <formula>TIPOORCAMENTO="PROPOSTO"</formula>
    </cfRule>
    <cfRule type="expression" dxfId="215" priority="599" stopIfTrue="1">
      <formula>$C24=1</formula>
    </cfRule>
    <cfRule type="expression" dxfId="214" priority="600" stopIfTrue="1">
      <formula>OR(AND(ISNUMBER($C24),$C24=0),$C24=2,$C24=3,$C24=4)</formula>
    </cfRule>
  </conditionalFormatting>
  <conditionalFormatting sqref="AM24:AN24">
    <cfRule type="expression" dxfId="213" priority="601" stopIfTrue="1">
      <formula>TIPOORCAMENTO="PROPOSTO"</formula>
    </cfRule>
    <cfRule type="expression" dxfId="212" priority="602" stopIfTrue="1">
      <formula>$C24=1</formula>
    </cfRule>
    <cfRule type="expression" dxfId="211" priority="603" stopIfTrue="1">
      <formula>OR(AND(ISNUMBER($C24),$C24=0),$C24=2,$C24=3,$C24=4)</formula>
    </cfRule>
  </conditionalFormatting>
  <conditionalFormatting sqref="M17:M18">
    <cfRule type="cellIs" dxfId="210" priority="451" stopIfTrue="1" operator="notEqual">
      <formula>$N17</formula>
    </cfRule>
  </conditionalFormatting>
  <conditionalFormatting sqref="N17:O18 R17:R18 W17:X18">
    <cfRule type="expression" dxfId="209" priority="452" stopIfTrue="1">
      <formula>$C17=1</formula>
    </cfRule>
    <cfRule type="expression" dxfId="208" priority="453" stopIfTrue="1">
      <formula>OR($C17=0,$C17=2,$C17=3,$C17=4)</formula>
    </cfRule>
  </conditionalFormatting>
  <conditionalFormatting sqref="U17:V18">
    <cfRule type="expression" dxfId="207" priority="454" stopIfTrue="1">
      <formula>$C17=1</formula>
    </cfRule>
    <cfRule type="expression" dxfId="206" priority="455" stopIfTrue="1">
      <formula>OR($C17=0,$C17=2,$C17=3,$C17=4)</formula>
    </cfRule>
    <cfRule type="expression" dxfId="205" priority="456" stopIfTrue="1">
      <formula>AND(TIPOORCAMENTO="Licitado",$C17&lt;&gt;"L",$C17&lt;&gt;-1)</formula>
    </cfRule>
  </conditionalFormatting>
  <conditionalFormatting sqref="P17:Q18 S17:T18 Y17:Y18 AG17:AH18">
    <cfRule type="expression" dxfId="204" priority="457" stopIfTrue="1">
      <formula>$C17=1</formula>
    </cfRule>
    <cfRule type="expression" dxfId="203" priority="458" stopIfTrue="1">
      <formula>OR($C17=0,$C17=2,$C17=3,$C17=4)</formula>
    </cfRule>
  </conditionalFormatting>
  <conditionalFormatting sqref="AJ17:AJ18">
    <cfRule type="expression" dxfId="202" priority="459" stopIfTrue="1">
      <formula>OR(ACOMPANHAMENTO&lt;&gt;"BM",TIPOORCAMENTO="Licitado")</formula>
    </cfRule>
    <cfRule type="expression" dxfId="201" priority="460" stopIfTrue="1">
      <formula>$C17=1</formula>
    </cfRule>
    <cfRule type="expression" dxfId="200" priority="461" stopIfTrue="1">
      <formula>OR(AND(ISNUMBER($C17),$C17=0),$C17=2,$C17=3,$C17=4)</formula>
    </cfRule>
  </conditionalFormatting>
  <conditionalFormatting sqref="AL17:AL18">
    <cfRule type="expression" dxfId="199" priority="462" stopIfTrue="1">
      <formula>TIPOORCAMENTO="PROPOSTO"</formula>
    </cfRule>
    <cfRule type="expression" dxfId="198" priority="463" stopIfTrue="1">
      <formula>$C17=1</formula>
    </cfRule>
    <cfRule type="expression" dxfId="197" priority="464" stopIfTrue="1">
      <formula>OR(AND(ISNUMBER($C17),$C17=0),$C17=2,$C17=3,$C17=4)</formula>
    </cfRule>
  </conditionalFormatting>
  <conditionalFormatting sqref="AM17:AN18">
    <cfRule type="expression" dxfId="196" priority="465" stopIfTrue="1">
      <formula>TIPOORCAMENTO="PROPOSTO"</formula>
    </cfRule>
    <cfRule type="expression" dxfId="195" priority="466" stopIfTrue="1">
      <formula>$C17=1</formula>
    </cfRule>
    <cfRule type="expression" dxfId="194" priority="467" stopIfTrue="1">
      <formula>OR(AND(ISNUMBER($C17),$C17=0),$C17=2,$C17=3,$C17=4)</formula>
    </cfRule>
  </conditionalFormatting>
  <conditionalFormatting sqref="N21:O22 R21:R22 W21:X22">
    <cfRule type="expression" dxfId="193" priority="409" stopIfTrue="1">
      <formula>$C21=1</formula>
    </cfRule>
    <cfRule type="expression" dxfId="192" priority="410" stopIfTrue="1">
      <formula>OR($C21=0,$C21=2,$C21=3,$C21=4)</formula>
    </cfRule>
  </conditionalFormatting>
  <conditionalFormatting sqref="U21:V22">
    <cfRule type="expression" dxfId="191" priority="411" stopIfTrue="1">
      <formula>$C21=1</formula>
    </cfRule>
    <cfRule type="expression" dxfId="190" priority="412" stopIfTrue="1">
      <formula>OR($C21=0,$C21=2,$C21=3,$C21=4)</formula>
    </cfRule>
    <cfRule type="expression" dxfId="189" priority="413" stopIfTrue="1">
      <formula>AND(TIPOORCAMENTO="Licitado",$C21&lt;&gt;"L",$C21&lt;&gt;-1)</formula>
    </cfRule>
  </conditionalFormatting>
  <conditionalFormatting sqref="AM21:AN22">
    <cfRule type="expression" dxfId="188" priority="414" stopIfTrue="1">
      <formula>TIPOORCAMENTO="PROPOSTO"</formula>
    </cfRule>
    <cfRule type="expression" dxfId="187" priority="415" stopIfTrue="1">
      <formula>$C21=1</formula>
    </cfRule>
    <cfRule type="expression" dxfId="186" priority="416" stopIfTrue="1">
      <formula>OR(AND(ISNUMBER($C21),$C21=0),$C21=2,$C21=3,$C21=4)</formula>
    </cfRule>
  </conditionalFormatting>
  <conditionalFormatting sqref="M31">
    <cfRule type="cellIs" dxfId="185" priority="52" stopIfTrue="1" operator="notEqual">
      <formula>$N31</formula>
    </cfRule>
  </conditionalFormatting>
  <conditionalFormatting sqref="N31:O31 R31 W31:X31">
    <cfRule type="expression" dxfId="184" priority="53" stopIfTrue="1">
      <formula>$C31=1</formula>
    </cfRule>
    <cfRule type="expression" dxfId="183" priority="54" stopIfTrue="1">
      <formula>OR($C31=0,$C31=2,$C31=3,$C31=4)</formula>
    </cfRule>
  </conditionalFormatting>
  <conditionalFormatting sqref="V31">
    <cfRule type="expression" dxfId="182" priority="55" stopIfTrue="1">
      <formula>$C31=1</formula>
    </cfRule>
    <cfRule type="expression" dxfId="181" priority="56" stopIfTrue="1">
      <formula>OR($C31=0,$C31=2,$C31=3,$C31=4)</formula>
    </cfRule>
    <cfRule type="expression" dxfId="180" priority="57" stopIfTrue="1">
      <formula>AND(TIPOORCAMENTO="Licitado",$C31&lt;&gt;"L",$C31&lt;&gt;-1)</formula>
    </cfRule>
  </conditionalFormatting>
  <conditionalFormatting sqref="P31:Q31 S31:T31 Y31 AG31:AH31">
    <cfRule type="expression" dxfId="179" priority="58" stopIfTrue="1">
      <formula>$C31=1</formula>
    </cfRule>
    <cfRule type="expression" dxfId="178" priority="59" stopIfTrue="1">
      <formula>OR($C31=0,$C31=2,$C31=3,$C31=4)</formula>
    </cfRule>
  </conditionalFormatting>
  <conditionalFormatting sqref="AJ31">
    <cfRule type="expression" dxfId="177" priority="60" stopIfTrue="1">
      <formula>OR(ACOMPANHAMENTO&lt;&gt;"BM",TIPOORCAMENTO="Licitado")</formula>
    </cfRule>
    <cfRule type="expression" dxfId="176" priority="61" stopIfTrue="1">
      <formula>$C31=1</formula>
    </cfRule>
    <cfRule type="expression" dxfId="175" priority="62" stopIfTrue="1">
      <formula>OR(AND(ISNUMBER($C31),$C31=0),$C31=2,$C31=3,$C31=4)</formula>
    </cfRule>
  </conditionalFormatting>
  <conditionalFormatting sqref="AL31">
    <cfRule type="expression" dxfId="174" priority="63" stopIfTrue="1">
      <formula>TIPOORCAMENTO="PROPOSTO"</formula>
    </cfRule>
    <cfRule type="expression" dxfId="173" priority="64" stopIfTrue="1">
      <formula>$C31=1</formula>
    </cfRule>
    <cfRule type="expression" dxfId="172" priority="65" stopIfTrue="1">
      <formula>OR(AND(ISNUMBER($C31),$C31=0),$C31=2,$C31=3,$C31=4)</formula>
    </cfRule>
  </conditionalFormatting>
  <conditionalFormatting sqref="AM31:AN31">
    <cfRule type="expression" dxfId="171" priority="66" stopIfTrue="1">
      <formula>TIPOORCAMENTO="PROPOSTO"</formula>
    </cfRule>
    <cfRule type="expression" dxfId="170" priority="67" stopIfTrue="1">
      <formula>$C31=1</formula>
    </cfRule>
    <cfRule type="expression" dxfId="169" priority="68" stopIfTrue="1">
      <formula>OR(AND(ISNUMBER($C31),$C31=0),$C31=2,$C31=3,$C31=4)</formula>
    </cfRule>
  </conditionalFormatting>
  <conditionalFormatting sqref="M28">
    <cfRule type="cellIs" dxfId="168" priority="1" stopIfTrue="1" operator="notEqual">
      <formula>$N28</formula>
    </cfRule>
  </conditionalFormatting>
  <conditionalFormatting sqref="N28:O28 W28:X28">
    <cfRule type="expression" dxfId="167" priority="2" stopIfTrue="1">
      <formula>$C28=1</formula>
    </cfRule>
    <cfRule type="expression" dxfId="166" priority="3" stopIfTrue="1">
      <formula>OR($C28=0,$C28=2,$C28=3,$C28=4)</formula>
    </cfRule>
  </conditionalFormatting>
  <conditionalFormatting sqref="V28">
    <cfRule type="expression" dxfId="165" priority="4" stopIfTrue="1">
      <formula>$C28=1</formula>
    </cfRule>
    <cfRule type="expression" dxfId="164" priority="5" stopIfTrue="1">
      <formula>OR($C28=0,$C28=2,$C28=3,$C28=4)</formula>
    </cfRule>
    <cfRule type="expression" dxfId="163" priority="6" stopIfTrue="1">
      <formula>AND(TIPOORCAMENTO="Licitado",$C28&lt;&gt;"L",$C28&lt;&gt;-1)</formula>
    </cfRule>
  </conditionalFormatting>
  <conditionalFormatting sqref="P28:Q28 S28:T28 Y28 AG28:AH28">
    <cfRule type="expression" dxfId="162" priority="7" stopIfTrue="1">
      <formula>$C28=1</formula>
    </cfRule>
    <cfRule type="expression" dxfId="161" priority="8" stopIfTrue="1">
      <formula>OR($C28=0,$C28=2,$C28=3,$C28=4)</formula>
    </cfRule>
  </conditionalFormatting>
  <conditionalFormatting sqref="AJ28">
    <cfRule type="expression" dxfId="160" priority="9" stopIfTrue="1">
      <formula>OR(ACOMPANHAMENTO&lt;&gt;"BM",TIPOORCAMENTO="Licitado")</formula>
    </cfRule>
    <cfRule type="expression" dxfId="159" priority="10" stopIfTrue="1">
      <formula>$C28=1</formula>
    </cfRule>
    <cfRule type="expression" dxfId="158" priority="11" stopIfTrue="1">
      <formula>OR(AND(ISNUMBER($C28),$C28=0),$C28=2,$C28=3,$C28=4)</formula>
    </cfRule>
  </conditionalFormatting>
  <conditionalFormatting sqref="AL28">
    <cfRule type="expression" dxfId="157" priority="12" stopIfTrue="1">
      <formula>TIPOORCAMENTO="PROPOSTO"</formula>
    </cfRule>
    <cfRule type="expression" dxfId="156" priority="13" stopIfTrue="1">
      <formula>$C28=1</formula>
    </cfRule>
    <cfRule type="expression" dxfId="155" priority="14" stopIfTrue="1">
      <formula>OR(AND(ISNUMBER($C28),$C28=0),$C28=2,$C28=3,$C28=4)</formula>
    </cfRule>
  </conditionalFormatting>
  <conditionalFormatting sqref="AM28:AN28">
    <cfRule type="expression" dxfId="154" priority="15" stopIfTrue="1">
      <formula>TIPOORCAMENTO="PROPOSTO"</formula>
    </cfRule>
    <cfRule type="expression" dxfId="153" priority="16" stopIfTrue="1">
      <formula>$C28=1</formula>
    </cfRule>
    <cfRule type="expression" dxfId="152" priority="17" stopIfTrue="1">
      <formula>OR(AND(ISNUMBER($C28),$C28=0),$C28=2,$C28=3,$C28=4)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J16:AJ31 U16:U31 AL16:AL31">
      <formula1>0</formula1>
      <formula2>0</formula2>
    </dataValidation>
    <dataValidation type="list" allowBlank="1" sqref="P14 P16:P31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31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31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31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31"/>
    <dataValidation allowBlank="1" showInputMessage="1" showErrorMessage="1" prompt="Para Orçamento Proposto, o Preço Unitário é resultado do produto do Custo Unitário pelo BDI._x000a_Para Orçamento Licitado, deve ser preenchido na Coluna AL." sqref="W14 W16:W31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36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02"/>
  <sheetViews>
    <sheetView showGridLines="0" view="pageBreakPreview" zoomScale="90" zoomScaleNormal="90" zoomScaleSheetLayoutView="90" workbookViewId="0">
      <pane xSplit="8" ySplit="15" topLeftCell="I16" activePane="bottomRight" state="frozen"/>
      <selection activeCell="C1" sqref="C1"/>
      <selection pane="topRight" activeCell="I1" sqref="I1"/>
      <selection pane="bottomLeft" activeCell="C16" sqref="C16"/>
      <selection pane="bottomRight" activeCell="I19" sqref="I19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26" t="str">
        <f>IF(ACOMPANHAMENTO="BM","MEMÓRIA DE CÁLCULO","PLQ - PLANILHA DE LEVANTAMENTO DE QUANTIDADES")</f>
        <v>PLQ - PLANILHA DE LEVANTAMENTO DE QUANTIDADES</v>
      </c>
      <c r="G1" s="626"/>
      <c r="H1" s="626"/>
      <c r="I1" s="147"/>
      <c r="K1" s="147"/>
      <c r="L1" s="147"/>
      <c r="M1" s="148"/>
      <c r="N1" s="147"/>
      <c r="P1" s="147"/>
      <c r="Q1" s="583" t="s">
        <v>141</v>
      </c>
      <c r="R1" s="583"/>
      <c r="Y1" s="583" t="s">
        <v>141</v>
      </c>
      <c r="Z1" s="583"/>
    </row>
    <row r="2" spans="1:59" ht="15" customHeight="1" x14ac:dyDescent="0.2">
      <c r="F2" s="627" t="str">
        <f>IF(ACOMPANHAMENTO="BM","","Memória de Cálculo")&amp;" - "&amp;import.recurso</f>
        <v>Memória de Cálculo - OGU</v>
      </c>
      <c r="G2" s="627"/>
      <c r="H2" s="627"/>
      <c r="I2" s="149"/>
      <c r="K2" s="149"/>
      <c r="L2" s="149"/>
      <c r="M2" s="150"/>
      <c r="N2" s="149"/>
      <c r="P2" s="149"/>
      <c r="Q2" s="584" t="s">
        <v>144</v>
      </c>
      <c r="R2" s="584"/>
      <c r="Y2" s="584" t="s">
        <v>144</v>
      </c>
      <c r="Z2" s="584"/>
    </row>
    <row r="3" spans="1:59" ht="12.75" customHeight="1" x14ac:dyDescent="0.2"/>
    <row r="4" spans="1:59" ht="12.75" customHeight="1" x14ac:dyDescent="0.2">
      <c r="E4" s="585" t="s">
        <v>204</v>
      </c>
      <c r="F4" s="585"/>
      <c r="G4" s="585" t="s">
        <v>148</v>
      </c>
      <c r="H4" s="585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585" t="s">
        <v>147</v>
      </c>
      <c r="T4" s="585"/>
      <c r="U4" s="585" t="s">
        <v>149</v>
      </c>
      <c r="V4" s="585"/>
      <c r="W4" s="585"/>
      <c r="X4" s="585"/>
      <c r="Y4" s="585"/>
      <c r="Z4" s="585"/>
    </row>
    <row r="5" spans="1:59" ht="12.75" customHeight="1" x14ac:dyDescent="0.2">
      <c r="E5" s="582" t="str">
        <f>Import.Apelido</f>
        <v>Calçamento da Rua Lino Azambuja</v>
      </c>
      <c r="F5" s="582"/>
      <c r="G5" s="582">
        <f>Import.SICONV</f>
        <v>0</v>
      </c>
      <c r="H5" s="582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582">
        <f>Import.CR</f>
        <v>0</v>
      </c>
      <c r="T5" s="582"/>
      <c r="U5" s="582" t="str">
        <f>Import.Proponente</f>
        <v>Prefeitura Municipal de Caçapava do Sul</v>
      </c>
      <c r="V5" s="582"/>
      <c r="W5" s="582"/>
      <c r="X5" s="582"/>
      <c r="Y5" s="582"/>
      <c r="Z5" s="582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IF(ACOMPANHAMENTO="BM",0,COUNTIF(M15:M32,0))</f>
        <v>1</v>
      </c>
      <c r="N12" s="158" t="s">
        <v>259</v>
      </c>
      <c r="O12" s="162"/>
      <c r="P12" s="159" t="s">
        <v>257</v>
      </c>
      <c r="Q12" s="543" t="s">
        <v>443</v>
      </c>
      <c r="R12" s="162" t="s">
        <v>474</v>
      </c>
      <c r="S12" s="162"/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>TRECHO 01 (Primeiros 67,75m)</v>
      </c>
      <c r="AD12" s="164">
        <f t="shared" ca="1" si="0"/>
        <v>0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>TRECHO 01 (Primeiros 67,75m)</v>
      </c>
      <c r="AO12" s="164">
        <f t="shared" ca="1" si="1"/>
        <v>0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>TRECHO 01 (Primeiros 67,75m)</v>
      </c>
      <c r="AZ12" s="164">
        <f t="shared" ca="1" si="2"/>
        <v>0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28" t="str">
        <f>Import.DescLote</f>
        <v>Lote Único - Empreitada Preço Global</v>
      </c>
      <c r="F15" s="628"/>
      <c r="G15" s="628"/>
      <c r="H15" s="628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ROUND(SUM(OFFSET(AB$15,1,0):AB$32),2)</f>
        <v>0</v>
      </c>
      <c r="AC15" s="188">
        <f ca="1">SUM(OFFSET(AC$15,1,0):AC$32)</f>
        <v>0</v>
      </c>
      <c r="AD15" s="188">
        <f ca="1">SUM(OFFSET(AD$15,1,0):AD$32)</f>
        <v>0</v>
      </c>
      <c r="AE15" s="188">
        <f ca="1">SUM(OFFSET(AE$15,1,0):AE$32)</f>
        <v>0</v>
      </c>
      <c r="AF15" s="188">
        <f ca="1">SUM(OFFSET(AF$15,1,0):AF$32)</f>
        <v>0</v>
      </c>
      <c r="AG15" s="188">
        <f ca="1">SUM(OFFSET(AG$15,1,0):AG$32)</f>
        <v>0</v>
      </c>
      <c r="AH15" s="188">
        <f ca="1">SUM(OFFSET(AH$15,1,0):AH$32)</f>
        <v>0</v>
      </c>
      <c r="AI15" s="188">
        <f ca="1">SUM(OFFSET(AI$15,1,0):AI$32)</f>
        <v>0</v>
      </c>
      <c r="AJ15" s="188">
        <f ca="1">SUM(OFFSET(AJ$15,1,0):AJ$32)</f>
        <v>0</v>
      </c>
      <c r="AK15" s="188">
        <f ca="1">SUM(OFFSET(AK$15,1,0):AK$32)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27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RUA LINO AZAMBUJA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468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468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489</v>
      </c>
      <c r="K18" s="173" t="s">
        <v>468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1</v>
      </c>
      <c r="S18" s="178"/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455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470</v>
      </c>
      <c r="K20" s="173" t="s">
        <v>455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12.75" x14ac:dyDescent="0.2">
      <c r="A21" s="7">
        <f ca="1">IF(AUTOEVENTO="Manual",IF(K21&lt;&gt;"",MIN(VALUE(LEFT(K21,FIND(".",K21)-1)),COUNTA(EVENTOS.Lista)),0),IF(OR($B21&gt;AUTOEVENTO,$B21="S",$B21=0),SUBSTITUTE(OFFSET($A21,-1,0),IF($D21="Serviço",".",""),""),ROW(A21)-ROW($A$15)&amp;"."))</f>
        <v>3</v>
      </c>
      <c r="B21" s="7">
        <f ca="1">OFFSET(ORÇAMENTO!C$15,ROW(B21)-ROW(B$15),0)</f>
        <v>2</v>
      </c>
      <c r="C21" s="7" t="str">
        <f ca="1">OFFSET(ORÇAMENTO!L$15,ROW(C21)-ROW(C$15),0)</f>
        <v>F</v>
      </c>
      <c r="D21" s="118" t="str">
        <f ca="1">OFFSET(ORÇAMENTO!N$15,ROW(D21)-ROW(D$15),0)</f>
        <v>Nível 2</v>
      </c>
      <c r="E21" s="119" t="str">
        <f ca="1">OFFSET(ORÇAMENTO!O$15,ROW(E21)-ROW(E$15),0)</f>
        <v>1.3.</v>
      </c>
      <c r="F21" s="171" t="str">
        <f ca="1">OFFSET(ORÇAMENTO!R$15,ROW(F21)-ROW(F$15),0)</f>
        <v>TERRAPLANAGEM</v>
      </c>
      <c r="G21" s="172" t="str">
        <f ca="1">IF($D21&lt;&gt;"Serviço","",OFFSET(ORÇAMENTO!S$15,ROW(G21)-ROW(G$15),0))</f>
        <v/>
      </c>
      <c r="H21" s="124">
        <f ca="1">IF($D21&lt;&gt;"Serviço",0,IF(ACOMPANHAMENTO="BM",ROUND(OFFSET(ORÇAMENTO!AJ$15,ROW(H21)-ROW(H$15),0),15-13*ORÇAMENTO!$AF$7),SUMPRODUCT(($Q$12:$AA$12&lt;&gt;"")*ROUND($Q21:$AA21,15-13*ORÇAMENTO!$AF$7))))</f>
        <v>0</v>
      </c>
      <c r="I21" s="561"/>
      <c r="K21" s="173" t="s">
        <v>475</v>
      </c>
      <c r="L21" s="174" t="s">
        <v>257</v>
      </c>
      <c r="M21" s="175" t="str">
        <f ca="1">IF($D21&lt;&gt;"Serviço","",IF(AUTOEVENTO="manual",$A21,IF(ISERROR(MATCH($A21,$A$15:OFFSET($A21,-1,0),0)),MAX($M$15:OFFSET(M21,-1,0))+1,INDEX($M$15:OFFSET(M21,-1,0),MATCH($A21,$A$15:OFFSET($A21,-1,0),0)))))</f>
        <v/>
      </c>
      <c r="N21" s="176" t="str">
        <f ca="1">IF($D21&lt;&gt;"Serviço","",IF(AUTOEVENTO="Manual",IF($A21=0,"&lt;-- defina o número do agrupador",OFFSET(EVENTOS!$D$14,$A21,0)),OFFSET($F$15,$A21,0)))</f>
        <v/>
      </c>
      <c r="O21" s="177"/>
      <c r="Q21" s="177"/>
      <c r="R21" s="178"/>
      <c r="S21" s="178"/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0</v>
      </c>
      <c r="AN21" s="180">
        <f ca="1">IF($D21&lt;&gt;"Serviço",0,IF(AND(AUTOEVENTO="Manual",$M21=1),0,IF(OFFSET(CRONOPLE!$F$14,$M21,AN$13)="",10^12,OFFSET(CRONOPLE!$F$14,$M21,AN$13))))</f>
        <v>0</v>
      </c>
      <c r="AO21" s="180">
        <f ca="1">IF($D21&lt;&gt;"Serviço",0,IF(AND(AUTOEVENTO="Manual",$M21=1),0,IF(OFFSET(CRONOPLE!$F$14,$M21,AO$13)="",10^12,OFFSET(CRONOPLE!$F$14,$M21,AO$13))))</f>
        <v>0</v>
      </c>
      <c r="AP21" s="180">
        <f ca="1">IF($D21&lt;&gt;"Serviço",0,IF(AND(AUTOEVENTO="Manual",$M21=1),0,IF(OFFSET(CRONOPLE!$F$14,$M21,AP$13)="",10^12,OFFSET(CRONOPLE!$F$14,$M21,AP$13))))</f>
        <v>0</v>
      </c>
      <c r="AQ21" s="180">
        <f ca="1">IF($D21&lt;&gt;"Serviço",0,IF(AND(AUTOEVENTO="Manual",$M21=1),0,IF(OFFSET(CRONOPLE!$F$14,$M21,AQ$13)="",10^12,OFFSET(CRONOPLE!$F$14,$M21,AQ$13))))</f>
        <v>0</v>
      </c>
      <c r="AR21" s="180">
        <f ca="1">IF($D21&lt;&gt;"Serviço",0,IF(AND(AUTOEVENTO="Manual",$M21=1),0,IF(OFFSET(CRONOPLE!$F$14,$M21,AR$13)="",10^12,OFFSET(CRONOPLE!$F$14,$M21,AR$13))))</f>
        <v>0</v>
      </c>
      <c r="AS21" s="180">
        <f ca="1">IF($D21&lt;&gt;"Serviço",0,IF(AND(AUTOEVENTO="Manual",$M21=1),0,IF(OFFSET(CRONOPLE!$F$14,$M21,AS$13)="",10^12,OFFSET(CRONOPLE!$F$14,$M21,AS$13))))</f>
        <v>0</v>
      </c>
      <c r="AT21" s="180">
        <f ca="1">IF($D21&lt;&gt;"Serviço",0,IF(AND(AUTOEVENTO="Manual",$M21=1),0,IF(OFFSET(CRONOPLE!$F$14,$M21,AT$13)="",10^12,OFFSET(CRONOPLE!$F$14,$M21,AT$13))))</f>
        <v>0</v>
      </c>
      <c r="AU21" s="180">
        <f ca="1">IF($D21&lt;&gt;"Serviço",0,IF(AND(AUTOEVENTO="Manual",$M21=1),0,IF(OFFSET(CRONOPLE!$F$14,$M21,AU$13)="",10^12,OFFSET(CRONOPLE!$F$14,$M21,AU$13))))</f>
        <v>0</v>
      </c>
      <c r="AV21" s="180">
        <f ca="1">IF($D21&lt;&gt;"Serviço",0,IF(AND(AUTOEVENTO="Manual",$M21=1),0,IF(OFFSET(CRONOPLE!$F$14,$M21,AV$13)="",10^12,OFFSET(CRONOPLE!$F$14,$M21,AV$13))))</f>
        <v>0</v>
      </c>
      <c r="AX21" s="181">
        <f ca="1">IF($D21&lt;&gt;"Serviço",0,IF(OR(AND(AUTOEVENTO="Manual",$M21=1),$M21&gt;(ROW(PLE.lastrow)-ROW(PLE.firstrow))),0,IF(OFFSET(PLE!$G$14,$M21,AX$13)="",10^12,OFFSET(PLE!$G$14,$M21,AX$13))))</f>
        <v>0</v>
      </c>
      <c r="AY21" s="181">
        <f ca="1">IF($D21&lt;&gt;"Serviço",0,IF(OR(AND(AUTOEVENTO="Manual",$M21=1),$M21&gt;(ROW(PLE.lastrow)-ROW(PLE.firstrow))),0,IF(OFFSET(PLE!$G$14,$M21,AY$13)="",10^12,OFFSET(PLE!$G$14,$M21,AY$13))))</f>
        <v>0</v>
      </c>
      <c r="AZ21" s="181">
        <f ca="1">IF($D21&lt;&gt;"Serviço",0,IF(OR(AND(AUTOEVENTO="Manual",$M21=1),$M21&gt;(ROW(PLE.lastrow)-ROW(PLE.firstrow))),0,IF(OFFSET(PLE!$G$14,$M21,AZ$13)="",10^12,OFFSET(PLE!$G$14,$M21,AZ$13))))</f>
        <v>0</v>
      </c>
      <c r="BA21" s="181">
        <f ca="1">IF($D21&lt;&gt;"Serviço",0,IF(OR(AND(AUTOEVENTO="Manual",$M21=1),$M21&gt;(ROW(PLE.lastrow)-ROW(PLE.firstrow))),0,IF(OFFSET(PLE!$G$14,$M21,BA$13)="",10^12,OFFSET(PLE!$G$14,$M21,BA$13))))</f>
        <v>0</v>
      </c>
      <c r="BB21" s="181">
        <f ca="1">IF($D21&lt;&gt;"Serviço",0,IF(OR(AND(AUTOEVENTO="Manual",$M21=1),$M21&gt;(ROW(PLE.lastrow)-ROW(PLE.firstrow))),0,IF(OFFSET(PLE!$G$14,$M21,BB$13)="",10^12,OFFSET(PLE!$G$14,$M21,BB$13))))</f>
        <v>0</v>
      </c>
      <c r="BC21" s="181">
        <f ca="1">IF($D21&lt;&gt;"Serviço",0,IF(OR(AND(AUTOEVENTO="Manual",$M21=1),$M21&gt;(ROW(PLE.lastrow)-ROW(PLE.firstrow))),0,IF(OFFSET(PLE!$G$14,$M21,BC$13)="",10^12,OFFSET(PLE!$G$14,$M21,BC$13))))</f>
        <v>0</v>
      </c>
      <c r="BD21" s="181">
        <f ca="1">IF($D21&lt;&gt;"Serviço",0,IF(OR(AND(AUTOEVENTO="Manual",$M21=1),$M21&gt;(ROW(PLE.lastrow)-ROW(PLE.firstrow))),0,IF(OFFSET(PLE!$G$14,$M21,BD$13)="",10^12,OFFSET(PLE!$G$14,$M21,BD$13))))</f>
        <v>0</v>
      </c>
      <c r="BE21" s="181">
        <f ca="1">IF($D21&lt;&gt;"Serviço",0,IF(OR(AND(AUTOEVENTO="Manual",$M21=1),$M21&gt;(ROW(PLE.lastrow)-ROW(PLE.firstrow))),0,IF(OFFSET(PLE!$G$14,$M21,BE$13)="",10^12,OFFSET(PLE!$G$14,$M21,BE$13))))</f>
        <v>0</v>
      </c>
      <c r="BF21" s="181">
        <f ca="1">IF($D21&lt;&gt;"Serviço",0,IF(OR(AND(AUTOEVENTO="Manual",$M21=1),$M21&gt;(ROW(PLE.lastrow)-ROW(PLE.firstrow))),0,IF(OFFSET(PLE!$G$14,$M21,BF$13)="",10^12,OFFSET(PLE!$G$14,$M21,BF$13))))</f>
        <v>0</v>
      </c>
      <c r="BG21" s="181">
        <f ca="1">IF($D21&lt;&gt;"Serviço",0,IF(OR(AND(AUTOEVENTO="Manual",$M21=1),$M21&gt;(ROW(PLE.lastrow)-ROW(PLE.firstrow))),0,IF(OFFSET(PLE!$G$14,$M21,BG$13)="",10^12,OFFSET(PLE!$G$14,$M21,BG$13))))</f>
        <v>0</v>
      </c>
    </row>
    <row r="22" spans="1:59" ht="25.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 t="str">
        <f ca="1">OFFSET(ORÇAMENTO!C$15,ROW(B22)-ROW(B$15),0)</f>
        <v>S</v>
      </c>
      <c r="C22" s="7" t="str">
        <f ca="1">OFFSET(ORÇAMENTO!L$15,ROW(C22)-ROW(C$15),0)</f>
        <v/>
      </c>
      <c r="D22" s="118" t="str">
        <f ca="1">OFFSET(ORÇAMENTO!N$15,ROW(D22)-ROW(D$15),0)</f>
        <v>Serviço</v>
      </c>
      <c r="E22" s="119" t="str">
        <f ca="1">OFFSET(ORÇAMENTO!O$15,ROW(E22)-ROW(E$15),0)</f>
        <v>-</v>
      </c>
      <c r="F22" s="171" t="str">
        <f ca="1">OFFSET(ORÇAMENTO!R$15,ROW(F22)-ROW(F$15),0)</f>
        <v>(abra o arquivo 'Referência 04-2024.xls)</v>
      </c>
      <c r="G22" s="172" t="str">
        <f ca="1">IF($D22&lt;&gt;"Serviço","",OFFSET(ORÇAMENTO!S$15,ROW(G22)-ROW(G$15),0))</f>
        <v>-</v>
      </c>
      <c r="H22" s="124">
        <f ca="1">IF($D22&lt;&gt;"Serviço",0,IF(ACOMPANHAMENTO="BM",ROUND(OFFSET(ORÇAMENTO!AJ$15,ROW(H22)-ROW(H$15),0),15-13*ORÇAMENTO!$AF$7),SUMPRODUCT(($Q$12:$AA$12&lt;&gt;"")*ROUND($Q22:$AA22,15-13*ORÇAMENTO!$AF$7))))</f>
        <v>348</v>
      </c>
      <c r="I22" s="561" t="s">
        <v>482</v>
      </c>
      <c r="K22" s="173" t="s">
        <v>475</v>
      </c>
      <c r="L22" s="174" t="s">
        <v>257</v>
      </c>
      <c r="M22" s="175">
        <f ca="1">IF($D22&lt;&gt;"Serviço","",IF(AUTOEVENTO="manual",$A22,IF(ISERROR(MATCH($A22,$A$15:OFFSET($A22,-1,0),0)),MAX($M$15:OFFSET(M22,-1,0))+1,INDEX($M$15:OFFSET(M22,-1,0),MATCH($A22,$A$15:OFFSET($A22,-1,0),0)))))</f>
        <v>3</v>
      </c>
      <c r="N22" s="176" t="str">
        <f ca="1">IF($D22&lt;&gt;"Serviço","",IF(AUTOEVENTO="Manual",IF($A22=0,"&lt;-- defina o número do agrupador",OFFSET(EVENTOS!$D$14,$A22,0)),OFFSET($F$15,$A22,0)))</f>
        <v xml:space="preserve">Terraplanagem </v>
      </c>
      <c r="O22" s="177"/>
      <c r="Q22" s="177"/>
      <c r="R22" s="178">
        <f>348</f>
        <v>348</v>
      </c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1000000000000</v>
      </c>
      <c r="AN22" s="180">
        <f ca="1">IF($D22&lt;&gt;"Serviço",0,IF(AND(AUTOEVENTO="Manual",$M22=1),0,IF(OFFSET(CRONOPLE!$F$14,$M22,AN$13)="",10^12,OFFSET(CRONOPLE!$F$14,$M22,AN$13))))</f>
        <v>1</v>
      </c>
      <c r="AO22" s="180">
        <f ca="1">IF($D22&lt;&gt;"Serviço",0,IF(AND(AUTOEVENTO="Manual",$M22=1),0,IF(OFFSET(CRONOPLE!$F$14,$M22,AO$13)="",10^12,OFFSET(CRONOPLE!$F$14,$M22,AO$13))))</f>
        <v>2</v>
      </c>
      <c r="AP22" s="180">
        <f ca="1">IF($D22&lt;&gt;"Serviço",0,IF(AND(AUTOEVENTO="Manual",$M22=1),0,IF(OFFSET(CRONOPLE!$F$14,$M22,AP$13)="",10^12,OFFSET(CRONOPLE!$F$14,$M22,AP$13))))</f>
        <v>5</v>
      </c>
      <c r="AQ22" s="180">
        <f ca="1">IF($D22&lt;&gt;"Serviço",0,IF(AND(AUTOEVENTO="Manual",$M22=1),0,IF(OFFSET(CRONOPLE!$F$14,$M22,AQ$13)="",10^12,OFFSET(CRONOPLE!$F$14,$M22,AQ$13))))</f>
        <v>6</v>
      </c>
      <c r="AR22" s="180">
        <f ca="1">IF($D22&lt;&gt;"Serviço",0,IF(AND(AUTOEVENTO="Manual",$M22=1),0,IF(OFFSET(CRONOPLE!$F$14,$M22,AR$13)="",10^12,OFFSET(CRONOPLE!$F$14,$M22,AR$13))))</f>
        <v>4</v>
      </c>
      <c r="AS22" s="180">
        <f ca="1">IF($D22&lt;&gt;"Serviço",0,IF(AND(AUTOEVENTO="Manual",$M22=1),0,IF(OFFSET(CRONOPLE!$F$14,$M22,AS$13)="",10^12,OFFSET(CRONOPLE!$F$14,$M22,AS$13))))</f>
        <v>1000000000000</v>
      </c>
      <c r="AT22" s="180">
        <f ca="1">IF($D22&lt;&gt;"Serviço",0,IF(AND(AUTOEVENTO="Manual",$M22=1),0,IF(OFFSET(CRONOPLE!$F$14,$M22,AT$13)="",10^12,OFFSET(CRONOPLE!$F$14,$M22,AT$13))))</f>
        <v>1000000000000</v>
      </c>
      <c r="AU22" s="180">
        <f ca="1">IF($D22&lt;&gt;"Serviço",0,IF(AND(AUTOEVENTO="Manual",$M22=1),0,IF(OFFSET(CRONOPLE!$F$14,$M22,AU$13)="",10^12,OFFSET(CRONOPLE!$F$14,$M22,AU$13))))</f>
        <v>1000000000000</v>
      </c>
      <c r="AV22" s="180">
        <f ca="1">IF($D22&lt;&gt;"Serviço",0,IF(AND(AUTOEVENTO="Manual",$M22=1),0,IF(OFFSET(CRONOPLE!$F$14,$M22,AV$13)="",10^12,OFFSET(CRONOPLE!$F$14,$M22,AV$13))))</f>
        <v>1000000000000</v>
      </c>
      <c r="AX22" s="181">
        <f ca="1">IF($D22&lt;&gt;"Serviço",0,IF(OR(AND(AUTOEVENTO="Manual",$M22=1),$M22&gt;(ROW(PLE.lastrow)-ROW(PLE.firstrow))),0,IF(OFFSET(PLE!$G$14,$M22,AX$13)="",10^12,OFFSET(PLE!$G$14,$M22,AX$13))))</f>
        <v>1000000000000</v>
      </c>
      <c r="AY22" s="181">
        <f ca="1">IF($D22&lt;&gt;"Serviço",0,IF(OR(AND(AUTOEVENTO="Manual",$M22=1),$M22&gt;(ROW(PLE.lastrow)-ROW(PLE.firstrow))),0,IF(OFFSET(PLE!$G$14,$M22,AY$13)="",10^12,OFFSET(PLE!$G$14,$M22,AY$13))))</f>
        <v>1000000000000</v>
      </c>
      <c r="AZ22" s="181">
        <f ca="1">IF($D22&lt;&gt;"Serviço",0,IF(OR(AND(AUTOEVENTO="Manual",$M22=1),$M22&gt;(ROW(PLE.lastrow)-ROW(PLE.firstrow))),0,IF(OFFSET(PLE!$G$14,$M22,AZ$13)="",10^12,OFFSET(PLE!$G$14,$M22,AZ$13))))</f>
        <v>1000000000000</v>
      </c>
      <c r="BA22" s="181">
        <f ca="1">IF($D22&lt;&gt;"Serviço",0,IF(OR(AND(AUTOEVENTO="Manual",$M22=1),$M22&gt;(ROW(PLE.lastrow)-ROW(PLE.firstrow))),0,IF(OFFSET(PLE!$G$14,$M22,BA$13)="",10^12,OFFSET(PLE!$G$14,$M22,BA$13))))</f>
        <v>1000000000000</v>
      </c>
      <c r="BB22" s="181">
        <f ca="1">IF($D22&lt;&gt;"Serviço",0,IF(OR(AND(AUTOEVENTO="Manual",$M22=1),$M22&gt;(ROW(PLE.lastrow)-ROW(PLE.firstrow))),0,IF(OFFSET(PLE!$G$14,$M22,BB$13)="",10^12,OFFSET(PLE!$G$14,$M22,BB$13))))</f>
        <v>1000000000000</v>
      </c>
      <c r="BC22" s="181">
        <f ca="1">IF($D22&lt;&gt;"Serviço",0,IF(OR(AND(AUTOEVENTO="Manual",$M22=1),$M22&gt;(ROW(PLE.lastrow)-ROW(PLE.firstrow))),0,IF(OFFSET(PLE!$G$14,$M22,BC$13)="",10^12,OFFSET(PLE!$G$14,$M22,BC$13))))</f>
        <v>1000000000000</v>
      </c>
      <c r="BD22" s="181">
        <f ca="1">IF($D22&lt;&gt;"Serviço",0,IF(OR(AND(AUTOEVENTO="Manual",$M22=1),$M22&gt;(ROW(PLE.lastrow)-ROW(PLE.firstrow))),0,IF(OFFSET(PLE!$G$14,$M22,BD$13)="",10^12,OFFSET(PLE!$G$14,$M22,BD$13))))</f>
        <v>1000000000000</v>
      </c>
      <c r="BE22" s="181">
        <f ca="1">IF($D22&lt;&gt;"Serviço",0,IF(OR(AND(AUTOEVENTO="Manual",$M22=1),$M22&gt;(ROW(PLE.lastrow)-ROW(PLE.firstrow))),0,IF(OFFSET(PLE!$G$14,$M22,BE$13)="",10^12,OFFSET(PLE!$G$14,$M22,BE$13))))</f>
        <v>1000000000000</v>
      </c>
      <c r="BF22" s="181">
        <f ca="1">IF($D22&lt;&gt;"Serviço",0,IF(OR(AND(AUTOEVENTO="Manual",$M22=1),$M22&gt;(ROW(PLE.lastrow)-ROW(PLE.firstrow))),0,IF(OFFSET(PLE!$G$14,$M22,BF$13)="",10^12,OFFSET(PLE!$G$14,$M22,BF$13))))</f>
        <v>1000000000000</v>
      </c>
      <c r="BG22" s="181">
        <f ca="1">IF($D22&lt;&gt;"Serviço",0,IF(OR(AND(AUTOEVENTO="Manual",$M22=1),$M22&gt;(ROW(PLE.lastrow)-ROW(PLE.firstrow))),0,IF(OFFSET(PLE!$G$14,$M22,BG$13)="",10^12,OFFSET(PLE!$G$14,$M22,BG$13))))</f>
        <v>1000000000000</v>
      </c>
    </row>
    <row r="23" spans="1:59" ht="12.75" x14ac:dyDescent="0.2">
      <c r="A23" s="7">
        <f t="shared" ca="1" si="8"/>
        <v>3</v>
      </c>
      <c r="B23" s="7">
        <f ca="1">OFFSET(ORÇAMENTO!C$15,ROW(B23)-ROW(B$15),0)</f>
        <v>2</v>
      </c>
      <c r="C23" s="7" t="str">
        <f ca="1">OFFSET(ORÇAMENTO!L$15,ROW(C23)-ROW(C$15),0)</f>
        <v>F</v>
      </c>
      <c r="D23" s="118" t="str">
        <f ca="1">OFFSET(ORÇAMENTO!N$15,ROW(D23)-ROW(D$15),0)</f>
        <v>Nível 2</v>
      </c>
      <c r="E23" s="119" t="str">
        <f ca="1">OFFSET(ORÇAMENTO!O$15,ROW(E23)-ROW(E$15),0)</f>
        <v>1.4.</v>
      </c>
      <c r="F23" s="171" t="str">
        <f ca="1">OFFSET(ORÇAMENTO!R$15,ROW(F23)-ROW(F$15),0)</f>
        <v>PAVIMENTAÇÃO - PISTA</v>
      </c>
      <c r="G23" s="172" t="str">
        <f ca="1">IF($D23&lt;&gt;"Serviço","",OFFSET(ORÇAMENTO!S$15,ROW(G23)-ROW(G$15),0))</f>
        <v/>
      </c>
      <c r="H23" s="124">
        <f ca="1">IF($D23&lt;&gt;"Serviço",0,IF(ACOMPANHAMENTO="BM",ROUND(OFFSET(ORÇAMENTO!AJ$15,ROW(H23)-ROW(H$15),0),15-13*ORÇAMENTO!$AF$7),SUMPRODUCT(($Q$12:$AA$12&lt;&gt;"")*ROUND($Q23:$AA23,15-13*ORÇAMENTO!$AF$7))))</f>
        <v>0</v>
      </c>
      <c r="I23" s="561"/>
      <c r="K23" s="173" t="s">
        <v>456</v>
      </c>
      <c r="L23" s="174" t="s">
        <v>257</v>
      </c>
      <c r="M23" s="175" t="str">
        <f ca="1">IF($D23&lt;&gt;"Serviço","",IF(AUTOEVENTO="manual",$A23,IF(ISERROR(MATCH($A23,$A$15:OFFSET($A23,-1,0),0)),MAX($M$15:OFFSET(M23,-1,0))+1,INDEX($M$15:OFFSET(M23,-1,0),MATCH($A23,$A$15:OFFSET($A23,-1,0),0)))))</f>
        <v/>
      </c>
      <c r="N23" s="176" t="str">
        <f ca="1">IF($D23&lt;&gt;"Serviço","",IF(AUTOEVENTO="Manual",IF($A23=0,"&lt;-- defina o número do agrupador",OFFSET(EVENTOS!$D$14,$A23,0)),OFFSET($F$15,$A23,0)))</f>
        <v/>
      </c>
      <c r="O23" s="177"/>
      <c r="Q23" s="177"/>
      <c r="R23" s="178"/>
      <c r="S23" s="178"/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0</v>
      </c>
      <c r="AN23" s="180">
        <f ca="1">IF($D23&lt;&gt;"Serviço",0,IF(AND(AUTOEVENTO="Manual",$M23=1),0,IF(OFFSET(CRONOPLE!$F$14,$M23,AN$13)="",10^12,OFFSET(CRONOPLE!$F$14,$M23,AN$13))))</f>
        <v>0</v>
      </c>
      <c r="AO23" s="180">
        <f ca="1">IF($D23&lt;&gt;"Serviço",0,IF(AND(AUTOEVENTO="Manual",$M23=1),0,IF(OFFSET(CRONOPLE!$F$14,$M23,AO$13)="",10^12,OFFSET(CRONOPLE!$F$14,$M23,AO$13))))</f>
        <v>0</v>
      </c>
      <c r="AP23" s="180">
        <f ca="1">IF($D23&lt;&gt;"Serviço",0,IF(AND(AUTOEVENTO="Manual",$M23=1),0,IF(OFFSET(CRONOPLE!$F$14,$M23,AP$13)="",10^12,OFFSET(CRONOPLE!$F$14,$M23,AP$13))))</f>
        <v>0</v>
      </c>
      <c r="AQ23" s="180">
        <f ca="1">IF($D23&lt;&gt;"Serviço",0,IF(AND(AUTOEVENTO="Manual",$M23=1),0,IF(OFFSET(CRONOPLE!$F$14,$M23,AQ$13)="",10^12,OFFSET(CRONOPLE!$F$14,$M23,AQ$13))))</f>
        <v>0</v>
      </c>
      <c r="AR23" s="180">
        <f ca="1">IF($D23&lt;&gt;"Serviço",0,IF(AND(AUTOEVENTO="Manual",$M23=1),0,IF(OFFSET(CRONOPLE!$F$14,$M23,AR$13)="",10^12,OFFSET(CRONOPLE!$F$14,$M23,AR$13))))</f>
        <v>0</v>
      </c>
      <c r="AS23" s="180">
        <f ca="1">IF($D23&lt;&gt;"Serviço",0,IF(AND(AUTOEVENTO="Manual",$M23=1),0,IF(OFFSET(CRONOPLE!$F$14,$M23,AS$13)="",10^12,OFFSET(CRONOPLE!$F$14,$M23,AS$13))))</f>
        <v>0</v>
      </c>
      <c r="AT23" s="180">
        <f ca="1">IF($D23&lt;&gt;"Serviço",0,IF(AND(AUTOEVENTO="Manual",$M23=1),0,IF(OFFSET(CRONOPLE!$F$14,$M23,AT$13)="",10^12,OFFSET(CRONOPLE!$F$14,$M23,AT$13))))</f>
        <v>0</v>
      </c>
      <c r="AU23" s="180">
        <f ca="1">IF($D23&lt;&gt;"Serviço",0,IF(AND(AUTOEVENTO="Manual",$M23=1),0,IF(OFFSET(CRONOPLE!$F$14,$M23,AU$13)="",10^12,OFFSET(CRONOPLE!$F$14,$M23,AU$13))))</f>
        <v>0</v>
      </c>
      <c r="AV23" s="180">
        <f ca="1">IF($D23&lt;&gt;"Serviço",0,IF(AND(AUTOEVENTO="Manual",$M23=1),0,IF(OFFSET(CRONOPLE!$F$14,$M23,AV$13)="",10^12,OFFSET(CRONOPLE!$F$14,$M23,AV$13))))</f>
        <v>0</v>
      </c>
      <c r="AX23" s="181">
        <f ca="1">IF($D23&lt;&gt;"Serviço",0,IF(OR(AND(AUTOEVENTO="Manual",$M23=1),$M23&gt;(ROW(PLE.lastrow)-ROW(PLE.firstrow))),0,IF(OFFSET(PLE!$G$14,$M23,AX$13)="",10^12,OFFSET(PLE!$G$14,$M23,AX$13))))</f>
        <v>0</v>
      </c>
      <c r="AY23" s="181">
        <f ca="1">IF($D23&lt;&gt;"Serviço",0,IF(OR(AND(AUTOEVENTO="Manual",$M23=1),$M23&gt;(ROW(PLE.lastrow)-ROW(PLE.firstrow))),0,IF(OFFSET(PLE!$G$14,$M23,AY$13)="",10^12,OFFSET(PLE!$G$14,$M23,AY$13))))</f>
        <v>0</v>
      </c>
      <c r="AZ23" s="181">
        <f ca="1">IF($D23&lt;&gt;"Serviço",0,IF(OR(AND(AUTOEVENTO="Manual",$M23=1),$M23&gt;(ROW(PLE.lastrow)-ROW(PLE.firstrow))),0,IF(OFFSET(PLE!$G$14,$M23,AZ$13)="",10^12,OFFSET(PLE!$G$14,$M23,AZ$13))))</f>
        <v>0</v>
      </c>
      <c r="BA23" s="181">
        <f ca="1">IF($D23&lt;&gt;"Serviço",0,IF(OR(AND(AUTOEVENTO="Manual",$M23=1),$M23&gt;(ROW(PLE.lastrow)-ROW(PLE.firstrow))),0,IF(OFFSET(PLE!$G$14,$M23,BA$13)="",10^12,OFFSET(PLE!$G$14,$M23,BA$13))))</f>
        <v>0</v>
      </c>
      <c r="BB23" s="181">
        <f ca="1">IF($D23&lt;&gt;"Serviço",0,IF(OR(AND(AUTOEVENTO="Manual",$M23=1),$M23&gt;(ROW(PLE.lastrow)-ROW(PLE.firstrow))),0,IF(OFFSET(PLE!$G$14,$M23,BB$13)="",10^12,OFFSET(PLE!$G$14,$M23,BB$13))))</f>
        <v>0</v>
      </c>
      <c r="BC23" s="181">
        <f ca="1">IF($D23&lt;&gt;"Serviço",0,IF(OR(AND(AUTOEVENTO="Manual",$M23=1),$M23&gt;(ROW(PLE.lastrow)-ROW(PLE.firstrow))),0,IF(OFFSET(PLE!$G$14,$M23,BC$13)="",10^12,OFFSET(PLE!$G$14,$M23,BC$13))))</f>
        <v>0</v>
      </c>
      <c r="BD23" s="181">
        <f ca="1">IF($D23&lt;&gt;"Serviço",0,IF(OR(AND(AUTOEVENTO="Manual",$M23=1),$M23&gt;(ROW(PLE.lastrow)-ROW(PLE.firstrow))),0,IF(OFFSET(PLE!$G$14,$M23,BD$13)="",10^12,OFFSET(PLE!$G$14,$M23,BD$13))))</f>
        <v>0</v>
      </c>
      <c r="BE23" s="181">
        <f ca="1">IF($D23&lt;&gt;"Serviço",0,IF(OR(AND(AUTOEVENTO="Manual",$M23=1),$M23&gt;(ROW(PLE.lastrow)-ROW(PLE.firstrow))),0,IF(OFFSET(PLE!$G$14,$M23,BE$13)="",10^12,OFFSET(PLE!$G$14,$M23,BE$13))))</f>
        <v>0</v>
      </c>
      <c r="BF23" s="181">
        <f ca="1">IF($D23&lt;&gt;"Serviço",0,IF(OR(AND(AUTOEVENTO="Manual",$M23=1),$M23&gt;(ROW(PLE.lastrow)-ROW(PLE.firstrow))),0,IF(OFFSET(PLE!$G$14,$M23,BF$13)="",10^12,OFFSET(PLE!$G$14,$M23,BF$13))))</f>
        <v>0</v>
      </c>
      <c r="BG23" s="181">
        <f ca="1">IF($D23&lt;&gt;"Serviço",0,IF(OR(AND(AUTOEVENTO="Manual",$M23=1),$M23&gt;(ROW(PLE.lastrow)-ROW(PLE.firstrow))),0,IF(OFFSET(PLE!$G$14,$M23,BG$13)="",10^12,OFFSET(PLE!$G$14,$M23,BG$13))))</f>
        <v>0</v>
      </c>
    </row>
    <row r="24" spans="1:59" ht="12.75" x14ac:dyDescent="0.2">
      <c r="A24" s="7">
        <f ca="1">IF(AUTOEVENTO="Manual",IF(K24&lt;&gt;"",MIN(VALUE(LEFT(K24,FIND(".",K24)-1)),COUNTA(EVENTOS.Lista)),0),IF(OR($B24&gt;AUTOEVENTO,$B24="S",$B24=0),SUBSTITUTE(OFFSET($A24,-1,0),IF($D24="Serviço",".",""),""),ROW(A24)-ROW($A$15)&amp;"."))</f>
        <v>3</v>
      </c>
      <c r="B24" s="7">
        <f ca="1">OFFSET(ORÇAMENTO!C$15,ROW(B24)-ROW(B$15),0)</f>
        <v>3</v>
      </c>
      <c r="C24" s="7" t="str">
        <f ca="1">OFFSET(ORÇAMENTO!L$15,ROW(C24)-ROW(C$15),0)</f>
        <v>F</v>
      </c>
      <c r="D24" s="118" t="str">
        <f ca="1">OFFSET(ORÇAMENTO!N$15,ROW(D24)-ROW(D$15),0)</f>
        <v>Nível 3</v>
      </c>
      <c r="E24" s="119" t="str">
        <f ca="1">OFFSET(ORÇAMENTO!O$15,ROW(E24)-ROW(E$15),0)</f>
        <v>1.4.1.</v>
      </c>
      <c r="F24" s="171" t="str">
        <f ca="1">OFFSET(ORÇAMENTO!R$15,ROW(F24)-ROW(F$15),0)</f>
        <v>Pavimentação da pista de rolamento com Paralelepípedo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456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38.2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 t="str">
        <f ca="1">OFFSET(ORÇAMENTO!C$15,ROW(B25)-ROW(B$15),0)</f>
        <v>S</v>
      </c>
      <c r="C25" s="7" t="str">
        <f ca="1">OFFSET(ORÇAMENTO!L$15,ROW(C25)-ROW(C$15),0)</f>
        <v/>
      </c>
      <c r="D25" s="118" t="str">
        <f ca="1">OFFSET(ORÇAMENTO!N$15,ROW(D25)-ROW(D$15),0)</f>
        <v>Serviço</v>
      </c>
      <c r="E25" s="119" t="str">
        <f ca="1">OFFSET(ORÇAMENTO!O$15,ROW(E25)-ROW(E$15),0)</f>
        <v>-</v>
      </c>
      <c r="F25" s="171" t="str">
        <f ca="1">OFFSET(ORÇAMENTO!R$15,ROW(F25)-ROW(F$15),0)</f>
        <v>(abra o arquivo 'Referência 04-2024.xls)</v>
      </c>
      <c r="G25" s="172" t="str">
        <f ca="1">IF($D25&lt;&gt;"Serviço","",OFFSET(ORÇAMENTO!S$15,ROW(G25)-ROW(G$15),0))</f>
        <v>-</v>
      </c>
      <c r="H25" s="124">
        <f ca="1">IF($D25&lt;&gt;"Serviço",0,IF(ACOMPANHAMENTO="BM",ROUND(OFFSET(ORÇAMENTO!AJ$15,ROW(H25)-ROW(H$15),0),15-13*ORÇAMENTO!$AF$7),SUMPRODUCT(($Q$12:$AA$12&lt;&gt;"")*ROUND($Q25:$AA25,15-13*ORÇAMENTO!$AF$7))))</f>
        <v>348</v>
      </c>
      <c r="I25" s="561" t="s">
        <v>464</v>
      </c>
      <c r="K25" s="173" t="s">
        <v>476</v>
      </c>
      <c r="L25" s="174" t="s">
        <v>257</v>
      </c>
      <c r="M25" s="175">
        <f ca="1">IF($D25&lt;&gt;"Serviço","",IF(AUTOEVENTO="manual",$A25,IF(ISERROR(MATCH($A25,$A$15:OFFSET($A25,-1,0),0)),MAX($M$15:OFFSET(M25,-1,0))+1,INDEX($M$15:OFFSET(M25,-1,0),MATCH($A25,$A$15:OFFSET($A25,-1,0),0)))))</f>
        <v>4</v>
      </c>
      <c r="N25" s="176" t="str">
        <f ca="1">IF($D25&lt;&gt;"Serviço","",IF(AUTOEVENTO="Manual",IF($A25=0,"&lt;-- defina o número do agrupador",OFFSET(EVENTOS!$D$14,$A25,0)),OFFSET($F$15,$A25,0)))</f>
        <v>Pavimantação - Pista</v>
      </c>
      <c r="O25" s="177"/>
      <c r="Q25" s="177"/>
      <c r="R25" s="178">
        <f>R22</f>
        <v>348</v>
      </c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1000000000000</v>
      </c>
      <c r="AN25" s="180">
        <f ca="1">IF($D25&lt;&gt;"Serviço",0,IF(AND(AUTOEVENTO="Manual",$M25=1),0,IF(OFFSET(CRONOPLE!$F$14,$M25,AN$13)="",10^12,OFFSET(CRONOPLE!$F$14,$M25,AN$13))))</f>
        <v>1</v>
      </c>
      <c r="AO25" s="180">
        <f ca="1">IF($D25&lt;&gt;"Serviço",0,IF(AND(AUTOEVENTO="Manual",$M25=1),0,IF(OFFSET(CRONOPLE!$F$14,$M25,AO$13)="",10^12,OFFSET(CRONOPLE!$F$14,$M25,AO$13))))</f>
        <v>4</v>
      </c>
      <c r="AP25" s="180">
        <f ca="1">IF($D25&lt;&gt;"Serviço",0,IF(AND(AUTOEVENTO="Manual",$M25=1),0,IF(OFFSET(CRONOPLE!$F$14,$M25,AP$13)="",10^12,OFFSET(CRONOPLE!$F$14,$M25,AP$13))))</f>
        <v>1000000000000</v>
      </c>
      <c r="AQ25" s="180">
        <f ca="1">IF($D25&lt;&gt;"Serviço",0,IF(AND(AUTOEVENTO="Manual",$M25=1),0,IF(OFFSET(CRONOPLE!$F$14,$M25,AQ$13)="",10^12,OFFSET(CRONOPLE!$F$14,$M25,AQ$13))))</f>
        <v>4</v>
      </c>
      <c r="AR25" s="180">
        <f ca="1">IF($D25&lt;&gt;"Serviço",0,IF(AND(AUTOEVENTO="Manual",$M25=1),0,IF(OFFSET(CRONOPLE!$F$14,$M25,AR$13)="",10^12,OFFSET(CRONOPLE!$F$14,$M25,AR$13))))</f>
        <v>1000000000000</v>
      </c>
      <c r="AS25" s="180">
        <f ca="1">IF($D25&lt;&gt;"Serviço",0,IF(AND(AUTOEVENTO="Manual",$M25=1),0,IF(OFFSET(CRONOPLE!$F$14,$M25,AS$13)="",10^12,OFFSET(CRONOPLE!$F$14,$M25,AS$13))))</f>
        <v>1000000000000</v>
      </c>
      <c r="AT25" s="180">
        <f ca="1">IF($D25&lt;&gt;"Serviço",0,IF(AND(AUTOEVENTO="Manual",$M25=1),0,IF(OFFSET(CRONOPLE!$F$14,$M25,AT$13)="",10^12,OFFSET(CRONOPLE!$F$14,$M25,AT$13))))</f>
        <v>1000000000000</v>
      </c>
      <c r="AU25" s="180">
        <f ca="1">IF($D25&lt;&gt;"Serviço",0,IF(AND(AUTOEVENTO="Manual",$M25=1),0,IF(OFFSET(CRONOPLE!$F$14,$M25,AU$13)="",10^12,OFFSET(CRONOPLE!$F$14,$M25,AU$13))))</f>
        <v>1000000000000</v>
      </c>
      <c r="AV25" s="180">
        <f ca="1">IF($D25&lt;&gt;"Serviço",0,IF(AND(AUTOEVENTO="Manual",$M25=1),0,IF(OFFSET(CRONOPLE!$F$14,$M25,AV$13)="",10^12,OFFSET(CRONOPLE!$F$14,$M25,AV$13))))</f>
        <v>1000000000000</v>
      </c>
      <c r="AX25" s="181">
        <f ca="1">IF($D25&lt;&gt;"Serviço",0,IF(OR(AND(AUTOEVENTO="Manual",$M25=1),$M25&gt;(ROW(PLE.lastrow)-ROW(PLE.firstrow))),0,IF(OFFSET(PLE!$G$14,$M25,AX$13)="",10^12,OFFSET(PLE!$G$14,$M25,AX$13))))</f>
        <v>1000000000000</v>
      </c>
      <c r="AY25" s="181">
        <f ca="1">IF($D25&lt;&gt;"Serviço",0,IF(OR(AND(AUTOEVENTO="Manual",$M25=1),$M25&gt;(ROW(PLE.lastrow)-ROW(PLE.firstrow))),0,IF(OFFSET(PLE!$G$14,$M25,AY$13)="",10^12,OFFSET(PLE!$G$14,$M25,AY$13))))</f>
        <v>1000000000000</v>
      </c>
      <c r="AZ25" s="181">
        <f ca="1">IF($D25&lt;&gt;"Serviço",0,IF(OR(AND(AUTOEVENTO="Manual",$M25=1),$M25&gt;(ROW(PLE.lastrow)-ROW(PLE.firstrow))),0,IF(OFFSET(PLE!$G$14,$M25,AZ$13)="",10^12,OFFSET(PLE!$G$14,$M25,AZ$13))))</f>
        <v>1000000000000</v>
      </c>
      <c r="BA25" s="181">
        <f ca="1">IF($D25&lt;&gt;"Serviço",0,IF(OR(AND(AUTOEVENTO="Manual",$M25=1),$M25&gt;(ROW(PLE.lastrow)-ROW(PLE.firstrow))),0,IF(OFFSET(PLE!$G$14,$M25,BA$13)="",10^12,OFFSET(PLE!$G$14,$M25,BA$13))))</f>
        <v>1000000000000</v>
      </c>
      <c r="BB25" s="181">
        <f ca="1">IF($D25&lt;&gt;"Serviço",0,IF(OR(AND(AUTOEVENTO="Manual",$M25=1),$M25&gt;(ROW(PLE.lastrow)-ROW(PLE.firstrow))),0,IF(OFFSET(PLE!$G$14,$M25,BB$13)="",10^12,OFFSET(PLE!$G$14,$M25,BB$13))))</f>
        <v>1000000000000</v>
      </c>
      <c r="BC25" s="181">
        <f ca="1">IF($D25&lt;&gt;"Serviço",0,IF(OR(AND(AUTOEVENTO="Manual",$M25=1),$M25&gt;(ROW(PLE.lastrow)-ROW(PLE.firstrow))),0,IF(OFFSET(PLE!$G$14,$M25,BC$13)="",10^12,OFFSET(PLE!$G$14,$M25,BC$13))))</f>
        <v>1000000000000</v>
      </c>
      <c r="BD25" s="181">
        <f ca="1">IF($D25&lt;&gt;"Serviço",0,IF(OR(AND(AUTOEVENTO="Manual",$M25=1),$M25&gt;(ROW(PLE.lastrow)-ROW(PLE.firstrow))),0,IF(OFFSET(PLE!$G$14,$M25,BD$13)="",10^12,OFFSET(PLE!$G$14,$M25,BD$13))))</f>
        <v>1000000000000</v>
      </c>
      <c r="BE25" s="181">
        <f ca="1">IF($D25&lt;&gt;"Serviço",0,IF(OR(AND(AUTOEVENTO="Manual",$M25=1),$M25&gt;(ROW(PLE.lastrow)-ROW(PLE.firstrow))),0,IF(OFFSET(PLE!$G$14,$M25,BE$13)="",10^12,OFFSET(PLE!$G$14,$M25,BE$13))))</f>
        <v>1000000000000</v>
      </c>
      <c r="BF25" s="181">
        <f ca="1">IF($D25&lt;&gt;"Serviço",0,IF(OR(AND(AUTOEVENTO="Manual",$M25=1),$M25&gt;(ROW(PLE.lastrow)-ROW(PLE.firstrow))),0,IF(OFFSET(PLE!$G$14,$M25,BF$13)="",10^12,OFFSET(PLE!$G$14,$M25,BF$13))))</f>
        <v>1000000000000</v>
      </c>
      <c r="BG25" s="181">
        <f ca="1">IF($D25&lt;&gt;"Serviço",0,IF(OR(AND(AUTOEVENTO="Manual",$M25=1),$M25&gt;(ROW(PLE.lastrow)-ROW(PLE.firstrow))),0,IF(OFFSET(PLE!$G$14,$M25,BG$13)="",10^12,OFFSET(PLE!$G$14,$M25,BG$13))))</f>
        <v>1000000000000</v>
      </c>
    </row>
    <row r="26" spans="1:59" ht="38.25" x14ac:dyDescent="0.2">
      <c r="A26" s="7">
        <f t="shared" ca="1" si="8"/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456.92</v>
      </c>
      <c r="I26" s="561" t="s">
        <v>486</v>
      </c>
      <c r="K26" s="173" t="s">
        <v>476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f>((R25*0.1313)*10)</f>
        <v>456.92399999999998</v>
      </c>
      <c r="S26" s="178">
        <f>((S25*(0.22*0.11*0.1))*30)</f>
        <v>0</v>
      </c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1</v>
      </c>
      <c r="AO26" s="180">
        <f ca="1">IF($D26&lt;&gt;"Serviço",0,IF(AND(AUTOEVENTO="Manual",$M26=1),0,IF(OFFSET(CRONOPLE!$F$14,$M26,AO$13)="",10^12,OFFSET(CRONOPLE!$F$14,$M26,AO$13))))</f>
        <v>4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76.5" x14ac:dyDescent="0.2">
      <c r="A27" s="7">
        <f t="shared" ca="1" si="8"/>
        <v>4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04-2024.xls)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20.21</v>
      </c>
      <c r="I27" s="561" t="s">
        <v>487</v>
      </c>
      <c r="K27" s="173" t="s">
        <v>476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4</v>
      </c>
      <c r="N27" s="176" t="str">
        <f ca="1">IF($D27&lt;&gt;"Serviço","",IF(AUTOEVENTO="Manual",IF($A27=0,"&lt;-- defina o número do agrupador",OFFSET(EVENTOS!$D$14,$A27,0)),OFFSET($F$15,$A27,0)))</f>
        <v>Pavimantação - Pista</v>
      </c>
      <c r="O27" s="177"/>
      <c r="Q27" s="177"/>
      <c r="R27" s="178">
        <f>((R25*(0.16*0.11*0.11))*30)</f>
        <v>20.211840000000002</v>
      </c>
      <c r="S27" s="178">
        <f>((S25*(0.22*0.11*0.1))*15)</f>
        <v>0</v>
      </c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1</v>
      </c>
      <c r="AO27" s="180">
        <f ca="1">IF($D27&lt;&gt;"Serviço",0,IF(AND(AUTOEVENTO="Manual",$M27=1),0,IF(OFFSET(CRONOPLE!$F$14,$M27,AO$13)="",10^12,OFFSET(CRONOPLE!$F$14,$M27,AO$13))))</f>
        <v>4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4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s="577" customFormat="1" ht="76.5" x14ac:dyDescent="0.2">
      <c r="A28" s="7">
        <f ca="1">IF(AUTOEVENTO="Manual",IF(K28&lt;&gt;"",MIN(VALUE(LEFT(K28,FIND(".",K28)-1)),COUNTA(EVENTOS.Lista)),0),IF(OR($B28&gt;AUTOEVENTO,$B28="S",$B28=0),SUBSTITUTE(OFFSET($A28,-1,0),IF($D28="Serviço",".",""),""),ROW(A28)-ROW($A$15)&amp;"."))</f>
        <v>4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13.27</v>
      </c>
      <c r="I28" s="561" t="s">
        <v>488</v>
      </c>
      <c r="K28" s="173" t="s">
        <v>476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4</v>
      </c>
      <c r="N28" s="176" t="str">
        <f ca="1">IF($D28&lt;&gt;"Serviço","",IF(AUTOEVENTO="Manual",IF($A28=0,"&lt;-- defina o número do agrupador",OFFSET(EVENTOS!$D$14,$A28,0)),OFFSET($F$15,$A28,0)))</f>
        <v>Pavimantação - Pista</v>
      </c>
      <c r="O28" s="177"/>
      <c r="Q28" s="177"/>
      <c r="R28" s="178">
        <f>((R26*(0.16*0.11*0.11))*15)</f>
        <v>13.269072960000001</v>
      </c>
      <c r="S28" s="178"/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1</v>
      </c>
      <c r="AO28" s="180">
        <f ca="1">IF($D28&lt;&gt;"Serviço",0,IF(AND(AUTOEVENTO="Manual",$M28=1),0,IF(OFFSET(CRONOPLE!$F$14,$M28,AO$13)="",10^12,OFFSET(CRONOPLE!$F$14,$M28,AO$13))))</f>
        <v>4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4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t="shared" ref="A29:A30" ca="1" si="9">IF(AUTOEVENTO="Manual",IF(K29&lt;&gt;"",MIN(VALUE(LEFT(K29,FIND(".",K29)-1)),COUNTA(EVENTOS.Lista)),0),IF(OR($B29&gt;AUTOEVENTO,$B29="S",$B29=0),SUBSTITUTE(OFFSET($A29,-1,0),IF($D29="Serviço",".",""),""),ROW(A29)-ROW($A$15)&amp;"."))</f>
        <v>5</v>
      </c>
      <c r="B29" s="7">
        <f ca="1">OFFSET(ORÇAMENTO!C$15,ROW(B29)-ROW(B$15),0)</f>
        <v>2</v>
      </c>
      <c r="C29" s="7" t="str">
        <f ca="1">OFFSET(ORÇAMENTO!L$15,ROW(C29)-ROW(C$15),0)</f>
        <v>F</v>
      </c>
      <c r="D29" s="118" t="str">
        <f ca="1">OFFSET(ORÇAMENTO!N$15,ROW(D29)-ROW(D$15),0)</f>
        <v>Nível 2</v>
      </c>
      <c r="E29" s="119" t="str">
        <f ca="1">OFFSET(ORÇAMENTO!O$15,ROW(E29)-ROW(E$15),0)</f>
        <v>1.5.</v>
      </c>
      <c r="F29" s="171" t="str">
        <f ca="1">OFFSET(ORÇAMENTO!R$15,ROW(F29)-ROW(F$15),0)</f>
        <v>SINALIZAÇÃO VERTICAL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477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25.5" x14ac:dyDescent="0.2">
      <c r="A30" s="7">
        <f t="shared" ca="1" si="9"/>
        <v>5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1</v>
      </c>
      <c r="I30" s="561" t="s">
        <v>478</v>
      </c>
      <c r="K30" s="173" t="s">
        <v>477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5</v>
      </c>
      <c r="N30" s="176" t="str">
        <f ca="1">IF($D30&lt;&gt;"Serviço","",IF(AUTOEVENTO="Manual",IF($A30=0,"&lt;-- defina o número do agrupador",OFFSET(EVENTOS!$D$14,$A30,0)),OFFSET($F$15,$A30,0)))</f>
        <v xml:space="preserve">Sinalização Vertical </v>
      </c>
      <c r="O30" s="177"/>
      <c r="Q30" s="177"/>
      <c r="R30" s="178">
        <v>1</v>
      </c>
      <c r="S30" s="178"/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1</v>
      </c>
      <c r="AO30" s="180">
        <f ca="1">IF($D30&lt;&gt;"Serviço",0,IF(AND(AUTOEVENTO="Manual",$M30=1),0,IF(OFFSET(CRONOPLE!$F$14,$M30,AO$13)="",10^12,OFFSET(CRONOPLE!$F$14,$M30,AO$13))))</f>
        <v>1000000000000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1000000000000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s="575" customFormat="1" ht="25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5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1</v>
      </c>
      <c r="I31" s="561" t="s">
        <v>478</v>
      </c>
      <c r="K31" s="173" t="s">
        <v>477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5</v>
      </c>
      <c r="N31" s="176" t="str">
        <f ca="1">IF($D31&lt;&gt;"Serviço","",IF(AUTOEVENTO="Manual",IF($A31=0,"&lt;-- defina o número do agrupador",OFFSET(EVENTOS!$D$14,$A31,0)),OFFSET($F$15,$A31,0)))</f>
        <v xml:space="preserve">Sinalização Vertical </v>
      </c>
      <c r="O31" s="177"/>
      <c r="Q31" s="177"/>
      <c r="R31" s="178">
        <v>1</v>
      </c>
      <c r="S31" s="178"/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1</v>
      </c>
      <c r="AO31" s="180">
        <f ca="1">IF($D31&lt;&gt;"Serviço",0,IF(AND(AUTOEVENTO="Manual",$M31=1),0,IF(OFFSET(CRONOPLE!$F$14,$M31,AO$13)="",10^12,OFFSET(CRONOPLE!$F$14,$M31,AO$13))))</f>
        <v>1000000000000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1000000000000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5.0999999999999996" customHeight="1" x14ac:dyDescent="0.2">
      <c r="B32" s="7">
        <f ca="1">OFFSET(ORÇAMENTO!C$15,ROW(B32)-ROW(B$15),0)</f>
        <v>-1</v>
      </c>
      <c r="C32" s="7" t="str">
        <f ca="1">OFFSET(ORÇAMENTO!L$15,ROW(C32)-ROW(C$15),0)</f>
        <v>F</v>
      </c>
      <c r="D32" s="483" t="s">
        <v>196</v>
      </c>
      <c r="E32" s="484"/>
      <c r="F32" s="485"/>
      <c r="G32" s="485"/>
      <c r="H32" s="485"/>
      <c r="I32" s="486"/>
      <c r="K32" s="488"/>
      <c r="L32" s="174" t="s">
        <v>257</v>
      </c>
      <c r="M32" s="489"/>
      <c r="N32" s="487"/>
      <c r="O32" s="482"/>
      <c r="Q32" s="484"/>
      <c r="R32" s="485"/>
      <c r="S32" s="485"/>
      <c r="T32" s="485"/>
      <c r="U32" s="485"/>
      <c r="V32" s="485"/>
      <c r="W32" s="485"/>
      <c r="X32" s="485"/>
      <c r="Y32" s="485"/>
      <c r="Z32" s="486"/>
      <c r="AB32" s="138"/>
      <c r="AC32" s="191"/>
      <c r="AD32" s="191"/>
      <c r="AE32" s="191"/>
      <c r="AF32" s="191"/>
      <c r="AG32" s="191"/>
      <c r="AH32" s="191"/>
      <c r="AI32" s="191"/>
      <c r="AJ32" s="191"/>
      <c r="AK32" s="139"/>
      <c r="AM32" s="138"/>
      <c r="AN32" s="191"/>
      <c r="AO32" s="191"/>
      <c r="AP32" s="191"/>
      <c r="AQ32" s="191"/>
      <c r="AR32" s="191"/>
      <c r="AS32" s="191"/>
      <c r="AT32" s="191"/>
      <c r="AU32" s="191"/>
      <c r="AV32" s="139"/>
      <c r="AX32" s="138"/>
      <c r="AY32" s="191"/>
      <c r="AZ32" s="191"/>
      <c r="BA32" s="191"/>
      <c r="BB32" s="191"/>
      <c r="BC32" s="191"/>
      <c r="BD32" s="191"/>
      <c r="BE32" s="191"/>
      <c r="BF32" s="191"/>
      <c r="BG32" s="139"/>
    </row>
    <row r="33" spans="3:25" ht="12.75" customHeight="1" x14ac:dyDescent="0.2"/>
    <row r="34" spans="3:25" ht="12.75" customHeight="1" x14ac:dyDescent="0.2"/>
    <row r="35" spans="3:25" ht="12.75" customHeight="1" x14ac:dyDescent="0.2"/>
    <row r="36" spans="3:25" ht="15" customHeight="1" x14ac:dyDescent="0.2">
      <c r="F36" s="192" t="str">
        <f>Import.Município</f>
        <v>Caçapava do Sul/RS</v>
      </c>
      <c r="I36" s="553"/>
      <c r="J36" s="553"/>
      <c r="K36" s="553"/>
      <c r="L36" s="553"/>
      <c r="M36" s="554"/>
      <c r="N36" s="479"/>
      <c r="T36" s="145"/>
      <c r="U36" s="145"/>
      <c r="V36" s="193"/>
      <c r="W36" s="193"/>
      <c r="X36" s="193"/>
      <c r="Y36" s="193"/>
    </row>
    <row r="37" spans="3:25" ht="12.75" customHeight="1" x14ac:dyDescent="0.2">
      <c r="F37" s="10" t="s">
        <v>190</v>
      </c>
      <c r="I37" s="194" t="s">
        <v>192</v>
      </c>
      <c r="J37" s="194"/>
      <c r="K37" s="194"/>
      <c r="L37" s="194"/>
      <c r="T37" s="194" t="s">
        <v>192</v>
      </c>
      <c r="U37" s="194"/>
    </row>
    <row r="38" spans="3:25" ht="12.75" customHeight="1" x14ac:dyDescent="0.2">
      <c r="I38" s="447" t="str">
        <f t="array" aca="1" ref="I38:I40" ca="1">OFFSET(Import.RespOrçamento,0,-1) &amp; " " &amp; Import.RespOrçamento</f>
        <v>Nome: Fernando Cesar Nubias Pereira</v>
      </c>
      <c r="K38" s="80"/>
      <c r="L38" s="80"/>
      <c r="T38" s="447" t="str">
        <f t="array" aca="1" ref="T38:T40" ca="1">OFFSET(Import.RespOrçamento,0,-1) &amp; " " &amp; Import.RespOrçamento</f>
        <v>Nome: Fernando Cesar Nubias Pereira</v>
      </c>
      <c r="U38" s="79"/>
    </row>
    <row r="39" spans="3:25" ht="12.75" customHeight="1" x14ac:dyDescent="0.2">
      <c r="F39" s="552">
        <f ca="1">DADOS!$F$25</f>
        <v>45545</v>
      </c>
      <c r="I39" s="447" t="str">
        <f ca="1"/>
        <v>CREA/CAU: RS A - 228673-4</v>
      </c>
      <c r="K39" s="80"/>
      <c r="L39" s="80"/>
      <c r="T39" s="447" t="str">
        <f ca="1"/>
        <v>CREA/CAU: RS A - 228673-4</v>
      </c>
      <c r="U39" s="79"/>
    </row>
    <row r="40" spans="3:25" ht="12.75" customHeight="1" x14ac:dyDescent="0.2">
      <c r="F40" s="146" t="s">
        <v>191</v>
      </c>
      <c r="I40" s="447" t="str">
        <f ca="1"/>
        <v>ART/RRT: 13882809</v>
      </c>
      <c r="K40" s="80"/>
      <c r="L40" s="80"/>
      <c r="T40" s="447" t="str">
        <f ca="1"/>
        <v>ART/RRT: 13882809</v>
      </c>
      <c r="U40" s="79"/>
    </row>
    <row r="41" spans="3:25" ht="12.75" customHeight="1" x14ac:dyDescent="0.2">
      <c r="C41"/>
      <c r="M41"/>
    </row>
    <row r="42" spans="3:25" ht="12.75" customHeight="1" x14ac:dyDescent="0.2">
      <c r="C42"/>
      <c r="M42"/>
    </row>
    <row r="43" spans="3:25" ht="12.75" customHeight="1" x14ac:dyDescent="0.2">
      <c r="C43"/>
      <c r="M43"/>
    </row>
    <row r="44" spans="3:25" ht="12.75" customHeight="1" x14ac:dyDescent="0.2">
      <c r="C44"/>
      <c r="M44"/>
    </row>
    <row r="45" spans="3:25" ht="12.75" customHeight="1" x14ac:dyDescent="0.2">
      <c r="C45"/>
      <c r="M45"/>
    </row>
    <row r="46" spans="3:25" ht="12.75" customHeight="1" x14ac:dyDescent="0.2">
      <c r="C46"/>
      <c r="M46"/>
    </row>
    <row r="47" spans="3:25" ht="12.75" customHeight="1" x14ac:dyDescent="0.2">
      <c r="C47"/>
      <c r="M47"/>
    </row>
    <row r="48" spans="3:25" ht="12.75" customHeight="1" x14ac:dyDescent="0.2">
      <c r="C48"/>
      <c r="M48"/>
    </row>
    <row r="49" spans="3:13" ht="12.75" customHeight="1" x14ac:dyDescent="0.2">
      <c r="C49"/>
      <c r="M49"/>
    </row>
    <row r="50" spans="3:13" ht="12.75" customHeight="1" x14ac:dyDescent="0.2">
      <c r="C50"/>
      <c r="M50"/>
    </row>
    <row r="51" spans="3:13" ht="12.75" customHeight="1" x14ac:dyDescent="0.2">
      <c r="C51"/>
      <c r="M51"/>
    </row>
    <row r="52" spans="3:13" ht="12.75" customHeight="1" x14ac:dyDescent="0.2">
      <c r="C52"/>
      <c r="M52"/>
    </row>
    <row r="53" spans="3:13" ht="12.75" customHeight="1" x14ac:dyDescent="0.2">
      <c r="C53"/>
      <c r="M53"/>
    </row>
    <row r="54" spans="3:13" ht="12.75" customHeight="1" x14ac:dyDescent="0.2">
      <c r="C54"/>
      <c r="M54"/>
    </row>
    <row r="55" spans="3:13" ht="12.75" customHeight="1" x14ac:dyDescent="0.2">
      <c r="C55"/>
      <c r="M55"/>
    </row>
    <row r="56" spans="3:13" ht="12.75" customHeight="1" x14ac:dyDescent="0.2">
      <c r="C56"/>
      <c r="M56"/>
    </row>
    <row r="57" spans="3:13" ht="12.75" customHeight="1" x14ac:dyDescent="0.2">
      <c r="C57"/>
      <c r="M57"/>
    </row>
    <row r="58" spans="3:13" ht="12.75" customHeight="1" x14ac:dyDescent="0.2">
      <c r="C58"/>
      <c r="M58"/>
    </row>
    <row r="59" spans="3:13" ht="12.75" customHeight="1" x14ac:dyDescent="0.2">
      <c r="C59"/>
      <c r="M59"/>
    </row>
    <row r="60" spans="3:13" ht="12.75" customHeight="1" x14ac:dyDescent="0.2">
      <c r="C60"/>
      <c r="M60"/>
    </row>
    <row r="61" spans="3:13" ht="12.75" customHeight="1" x14ac:dyDescent="0.2">
      <c r="C61"/>
      <c r="M61"/>
    </row>
    <row r="62" spans="3:13" ht="12.75" customHeight="1" x14ac:dyDescent="0.2">
      <c r="C62"/>
      <c r="M62"/>
    </row>
    <row r="63" spans="3:13" ht="12.75" customHeight="1" x14ac:dyDescent="0.2">
      <c r="C63"/>
      <c r="M63"/>
    </row>
    <row r="64" spans="3:13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60944" spans="3:13" ht="12.75" customHeight="1" x14ac:dyDescent="0.2">
      <c r="C60944"/>
      <c r="M60944"/>
    </row>
    <row r="60960" spans="3:13" ht="12.75" customHeight="1" x14ac:dyDescent="0.2">
      <c r="C60960"/>
      <c r="M60960"/>
    </row>
    <row r="60976" spans="3:13" ht="12.75" customHeight="1" x14ac:dyDescent="0.2">
      <c r="C60976"/>
      <c r="M60976"/>
    </row>
    <row r="60992" spans="3:13" ht="12.75" customHeight="1" x14ac:dyDescent="0.2">
      <c r="C60992"/>
      <c r="M60992"/>
    </row>
    <row r="61005" spans="3:13" ht="12.75" customHeight="1" x14ac:dyDescent="0.2">
      <c r="C61005"/>
      <c r="M61005"/>
    </row>
    <row r="61006" spans="3:13" ht="12.75" customHeight="1" x14ac:dyDescent="0.2">
      <c r="C61006"/>
      <c r="M61006"/>
    </row>
    <row r="61008" spans="3:13" ht="12.75" customHeight="1" x14ac:dyDescent="0.2">
      <c r="C61008"/>
      <c r="M61008"/>
    </row>
    <row r="61019" spans="3:13" ht="12.75" customHeight="1" x14ac:dyDescent="0.2">
      <c r="C61019"/>
      <c r="M61019"/>
    </row>
    <row r="61020" spans="3:13" ht="12.75" customHeight="1" x14ac:dyDescent="0.2">
      <c r="C61020"/>
      <c r="M61020"/>
    </row>
    <row r="61021" spans="3:13" ht="12.75" customHeight="1" x14ac:dyDescent="0.2">
      <c r="C61021"/>
      <c r="M61021"/>
    </row>
    <row r="61022" spans="3:13" ht="12.75" customHeight="1" x14ac:dyDescent="0.2">
      <c r="C61022"/>
      <c r="M61022"/>
    </row>
    <row r="61024" spans="3:13" ht="12.75" customHeight="1" x14ac:dyDescent="0.2">
      <c r="C61024"/>
      <c r="M61024"/>
    </row>
    <row r="61035" spans="3:13" ht="12.75" customHeight="1" x14ac:dyDescent="0.2">
      <c r="C61035"/>
      <c r="M61035"/>
    </row>
    <row r="61036" spans="3:13" ht="12.75" customHeight="1" x14ac:dyDescent="0.2">
      <c r="C61036"/>
      <c r="M61036"/>
    </row>
    <row r="61037" spans="3:13" ht="12.75" customHeight="1" x14ac:dyDescent="0.2">
      <c r="C61037"/>
      <c r="M61037"/>
    </row>
    <row r="61038" spans="3:13" ht="12.75" customHeight="1" x14ac:dyDescent="0.2">
      <c r="C61038"/>
      <c r="M61038"/>
    </row>
    <row r="61040" spans="3:13" ht="12.75" customHeight="1" x14ac:dyDescent="0.2">
      <c r="C61040"/>
      <c r="M61040"/>
    </row>
    <row r="61051" spans="3:13" ht="12.75" customHeight="1" x14ac:dyDescent="0.2">
      <c r="C61051"/>
      <c r="M61051"/>
    </row>
    <row r="61052" spans="3:13" ht="12.75" customHeight="1" x14ac:dyDescent="0.2">
      <c r="C61052"/>
      <c r="M61052"/>
    </row>
    <row r="61053" spans="3:13" ht="12.75" customHeight="1" x14ac:dyDescent="0.2">
      <c r="C61053"/>
      <c r="M61053"/>
    </row>
    <row r="61054" spans="3:13" ht="12.75" customHeight="1" x14ac:dyDescent="0.2">
      <c r="C61054"/>
      <c r="M61054"/>
    </row>
    <row r="61056" spans="3:13" ht="12.75" customHeight="1" x14ac:dyDescent="0.2">
      <c r="C61056"/>
      <c r="M61056"/>
    </row>
    <row r="61067" spans="3:13" ht="12.75" customHeight="1" x14ac:dyDescent="0.2">
      <c r="C61067"/>
      <c r="M61067"/>
    </row>
    <row r="61068" spans="3:13" ht="12.75" customHeight="1" x14ac:dyDescent="0.2">
      <c r="C61068"/>
      <c r="M61068"/>
    </row>
    <row r="61069" spans="3:13" ht="12.75" customHeight="1" x14ac:dyDescent="0.2">
      <c r="C61069"/>
      <c r="M61069"/>
    </row>
    <row r="61070" spans="3:13" ht="12.75" customHeight="1" x14ac:dyDescent="0.2">
      <c r="C61070"/>
      <c r="M61070"/>
    </row>
    <row r="61072" spans="3:13" ht="12.75" customHeight="1" x14ac:dyDescent="0.2">
      <c r="C61072"/>
      <c r="M61072"/>
    </row>
    <row r="61083" spans="3:13" ht="12.75" customHeight="1" x14ac:dyDescent="0.2">
      <c r="C61083"/>
      <c r="M61083"/>
    </row>
    <row r="61084" spans="3:13" ht="12.75" customHeight="1" x14ac:dyDescent="0.2">
      <c r="C61084"/>
      <c r="M61084"/>
    </row>
    <row r="61085" spans="3:13" ht="12.75" customHeight="1" x14ac:dyDescent="0.2">
      <c r="C61085"/>
      <c r="M61085"/>
    </row>
    <row r="61086" spans="3:13" ht="12.75" customHeight="1" x14ac:dyDescent="0.2">
      <c r="C61086"/>
      <c r="M61086"/>
    </row>
    <row r="61088" spans="3:13" ht="12.75" customHeight="1" x14ac:dyDescent="0.2">
      <c r="C61088"/>
      <c r="M61088"/>
    </row>
    <row r="61099" spans="3:13" ht="12.75" customHeight="1" x14ac:dyDescent="0.2">
      <c r="C61099"/>
      <c r="M61099"/>
    </row>
    <row r="61100" spans="3:13" ht="12.75" customHeight="1" x14ac:dyDescent="0.2">
      <c r="C61100"/>
      <c r="M61100"/>
    </row>
    <row r="61101" spans="3:13" ht="12.75" customHeight="1" x14ac:dyDescent="0.2">
      <c r="C61101"/>
      <c r="M61101"/>
    </row>
    <row r="61102" spans="3:13" ht="12.75" customHeight="1" x14ac:dyDescent="0.2">
      <c r="C61102"/>
      <c r="M61102"/>
    </row>
    <row r="61104" spans="3:13" ht="12.75" customHeight="1" x14ac:dyDescent="0.2">
      <c r="C61104"/>
      <c r="M61104"/>
    </row>
    <row r="61115" spans="3:13" ht="12.75" customHeight="1" x14ac:dyDescent="0.2">
      <c r="C61115"/>
      <c r="M61115"/>
    </row>
    <row r="61116" spans="3:13" ht="12.75" customHeight="1" x14ac:dyDescent="0.2">
      <c r="C61116"/>
      <c r="M61116"/>
    </row>
    <row r="61117" spans="3:13" ht="12.75" customHeight="1" x14ac:dyDescent="0.2">
      <c r="C61117"/>
      <c r="M61117"/>
    </row>
    <row r="61118" spans="3:13" ht="12.75" customHeight="1" x14ac:dyDescent="0.2">
      <c r="C61118"/>
      <c r="M61118"/>
    </row>
    <row r="61120" spans="3:13" ht="12.75" customHeight="1" x14ac:dyDescent="0.2">
      <c r="C61120"/>
      <c r="M61120"/>
    </row>
    <row r="61131" spans="3:13" ht="12.75" customHeight="1" x14ac:dyDescent="0.2">
      <c r="C61131"/>
      <c r="M61131"/>
    </row>
    <row r="61132" spans="3:13" ht="12.75" customHeight="1" x14ac:dyDescent="0.2">
      <c r="C61132"/>
      <c r="M61132"/>
    </row>
    <row r="61133" spans="3:13" ht="12.75" customHeight="1" x14ac:dyDescent="0.2">
      <c r="C61133"/>
      <c r="M61133"/>
    </row>
    <row r="61134" spans="3:13" ht="12.75" customHeight="1" x14ac:dyDescent="0.2">
      <c r="C61134"/>
      <c r="M61134"/>
    </row>
    <row r="61136" spans="3:13" ht="12.75" customHeight="1" x14ac:dyDescent="0.2">
      <c r="C61136"/>
      <c r="M61136"/>
    </row>
    <row r="61144" spans="3:13" ht="12.75" customHeight="1" x14ac:dyDescent="0.2">
      <c r="C61144"/>
      <c r="M61144"/>
    </row>
    <row r="61147" spans="3:13" ht="12.75" customHeight="1" x14ac:dyDescent="0.2">
      <c r="C61147"/>
      <c r="M61147"/>
    </row>
    <row r="61148" spans="3:13" ht="12.75" customHeight="1" x14ac:dyDescent="0.2">
      <c r="C61148"/>
      <c r="M61148"/>
    </row>
    <row r="61149" spans="3:13" ht="12.75" customHeight="1" x14ac:dyDescent="0.2">
      <c r="C61149"/>
      <c r="M61149"/>
    </row>
    <row r="61150" spans="3:13" ht="12.75" customHeight="1" x14ac:dyDescent="0.2">
      <c r="C61150"/>
      <c r="M61150"/>
    </row>
    <row r="61152" spans="3:13" ht="12.75" customHeight="1" x14ac:dyDescent="0.2">
      <c r="C61152"/>
      <c r="M61152"/>
    </row>
    <row r="61160" spans="3:13" ht="12.75" customHeight="1" x14ac:dyDescent="0.2">
      <c r="C61160"/>
      <c r="M61160"/>
    </row>
    <row r="61163" spans="3:13" ht="12.75" customHeight="1" x14ac:dyDescent="0.2">
      <c r="C61163"/>
      <c r="M61163"/>
    </row>
    <row r="61164" spans="3:13" ht="12.75" customHeight="1" x14ac:dyDescent="0.2">
      <c r="C61164"/>
      <c r="M61164"/>
    </row>
    <row r="61165" spans="3:13" ht="12.75" customHeight="1" x14ac:dyDescent="0.2">
      <c r="C61165"/>
      <c r="M61165"/>
    </row>
    <row r="61166" spans="3:13" ht="12.75" customHeight="1" x14ac:dyDescent="0.2">
      <c r="C61166"/>
      <c r="M61166"/>
    </row>
    <row r="61168" spans="3:13" ht="12.75" customHeight="1" x14ac:dyDescent="0.2">
      <c r="C61168"/>
      <c r="M61168"/>
    </row>
    <row r="61176" spans="3:13" ht="12.75" customHeight="1" x14ac:dyDescent="0.2">
      <c r="C61176"/>
      <c r="M61176"/>
    </row>
    <row r="61177" spans="3:13" ht="12.75" customHeight="1" x14ac:dyDescent="0.2">
      <c r="C61177"/>
      <c r="M61177"/>
    </row>
    <row r="61179" spans="3:13" ht="12.75" customHeight="1" x14ac:dyDescent="0.2">
      <c r="C61179"/>
      <c r="M61179"/>
    </row>
    <row r="61180" spans="3:13" ht="12.75" customHeight="1" x14ac:dyDescent="0.2">
      <c r="C61180"/>
      <c r="M61180"/>
    </row>
    <row r="61181" spans="3:13" ht="12.75" customHeight="1" x14ac:dyDescent="0.2">
      <c r="C61181"/>
      <c r="M61181"/>
    </row>
    <row r="61182" spans="3:13" ht="12.75" customHeight="1" x14ac:dyDescent="0.2">
      <c r="C61182"/>
      <c r="M61182"/>
    </row>
    <row r="61184" spans="3:13" ht="12.75" customHeight="1" x14ac:dyDescent="0.2">
      <c r="C61184"/>
      <c r="M61184"/>
    </row>
    <row r="61192" spans="3:13" ht="12.75" customHeight="1" x14ac:dyDescent="0.2">
      <c r="C61192"/>
      <c r="M61192"/>
    </row>
    <row r="61193" spans="3:13" ht="12.75" customHeight="1" x14ac:dyDescent="0.2">
      <c r="C61193"/>
      <c r="M61193"/>
    </row>
    <row r="61194" spans="3:13" ht="12.75" customHeight="1" x14ac:dyDescent="0.2">
      <c r="C61194"/>
      <c r="M61194"/>
    </row>
    <row r="61195" spans="3:13" ht="12.75" customHeight="1" x14ac:dyDescent="0.2">
      <c r="C61195"/>
      <c r="M61195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8" spans="3:13" ht="12.75" customHeight="1" x14ac:dyDescent="0.2">
      <c r="C61198"/>
      <c r="M61198"/>
    </row>
    <row r="61200" spans="3:13" ht="12.75" customHeight="1" x14ac:dyDescent="0.2">
      <c r="C61200"/>
      <c r="M61200"/>
    </row>
    <row r="61208" spans="3:13" ht="12.75" customHeight="1" x14ac:dyDescent="0.2">
      <c r="C61208"/>
      <c r="M61208"/>
    </row>
    <row r="61209" spans="3:13" ht="12.75" customHeight="1" x14ac:dyDescent="0.2">
      <c r="C61209"/>
      <c r="M61209"/>
    </row>
    <row r="61210" spans="3:13" ht="12.75" customHeight="1" x14ac:dyDescent="0.2">
      <c r="C61210"/>
      <c r="M61210"/>
    </row>
    <row r="61211" spans="3:13" ht="12.75" customHeight="1" x14ac:dyDescent="0.2">
      <c r="C61211"/>
      <c r="M61211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6" spans="3:13" ht="12.75" customHeight="1" x14ac:dyDescent="0.2">
      <c r="C61216"/>
      <c r="M61216"/>
    </row>
    <row r="61222" spans="3:13" ht="12.75" customHeight="1" x14ac:dyDescent="0.2">
      <c r="C61222"/>
      <c r="M61222"/>
    </row>
    <row r="61223" spans="3:13" ht="12.75" customHeight="1" x14ac:dyDescent="0.2">
      <c r="C61223"/>
      <c r="M61223"/>
    </row>
    <row r="61224" spans="3:13" ht="12.75" customHeight="1" x14ac:dyDescent="0.2">
      <c r="C61224"/>
      <c r="M61224"/>
    </row>
    <row r="61225" spans="3:13" ht="12.75" customHeight="1" x14ac:dyDescent="0.2">
      <c r="C61225"/>
      <c r="M61225"/>
    </row>
    <row r="61226" spans="3:13" ht="12.75" customHeight="1" x14ac:dyDescent="0.2">
      <c r="C61226"/>
      <c r="M61226"/>
    </row>
    <row r="61227" spans="3:13" ht="12.75" customHeight="1" x14ac:dyDescent="0.2">
      <c r="C61227"/>
      <c r="M61227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2" spans="3:13" ht="12.75" customHeight="1" x14ac:dyDescent="0.2">
      <c r="C61232"/>
      <c r="M61232"/>
    </row>
    <row r="61233" spans="3:13" ht="12.75" customHeight="1" x14ac:dyDescent="0.2">
      <c r="C61233"/>
      <c r="M61233"/>
    </row>
    <row r="61238" spans="3:13" ht="12.75" customHeight="1" x14ac:dyDescent="0.2">
      <c r="C61238"/>
      <c r="M61238"/>
    </row>
    <row r="61239" spans="3:13" ht="12.75" customHeight="1" x14ac:dyDescent="0.2">
      <c r="C61239"/>
      <c r="M61239"/>
    </row>
    <row r="61240" spans="3:13" ht="12.75" customHeight="1" x14ac:dyDescent="0.2">
      <c r="C61240"/>
      <c r="M61240"/>
    </row>
    <row r="61241" spans="3:13" ht="12.75" customHeight="1" x14ac:dyDescent="0.2">
      <c r="C61241"/>
      <c r="M61241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4" spans="3:13" ht="12.75" customHeight="1" x14ac:dyDescent="0.2">
      <c r="C61254"/>
      <c r="M61254"/>
    </row>
    <row r="61255" spans="3:13" ht="12.75" customHeight="1" x14ac:dyDescent="0.2">
      <c r="C61255"/>
      <c r="M61255"/>
    </row>
    <row r="61256" spans="3:13" ht="12.75" customHeight="1" x14ac:dyDescent="0.2">
      <c r="C61256"/>
      <c r="M61256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70" spans="3:13" ht="12.75" customHeight="1" x14ac:dyDescent="0.2">
      <c r="C61270"/>
      <c r="M61270"/>
    </row>
    <row r="61271" spans="3:13" ht="12.75" customHeight="1" x14ac:dyDescent="0.2">
      <c r="C61271"/>
      <c r="M61271"/>
    </row>
    <row r="61272" spans="3:13" ht="12.75" customHeight="1" x14ac:dyDescent="0.2">
      <c r="C61272"/>
      <c r="M61272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5" spans="3:13" ht="12.75" customHeight="1" x14ac:dyDescent="0.2">
      <c r="C61285"/>
      <c r="M61285"/>
    </row>
    <row r="61286" spans="3:13" ht="12.75" customHeight="1" x14ac:dyDescent="0.2">
      <c r="C61286"/>
      <c r="M61286"/>
    </row>
    <row r="61287" spans="3:13" ht="12.75" customHeight="1" x14ac:dyDescent="0.2">
      <c r="C61287"/>
      <c r="M61287"/>
    </row>
    <row r="61288" spans="3:13" ht="12.75" customHeight="1" x14ac:dyDescent="0.2">
      <c r="C61288"/>
      <c r="M61288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301" spans="3:13" ht="12.75" customHeight="1" x14ac:dyDescent="0.2">
      <c r="C61301"/>
      <c r="M61301"/>
    </row>
    <row r="61302" spans="3:13" ht="12.75" customHeight="1" x14ac:dyDescent="0.2">
      <c r="C61302"/>
      <c r="M61302"/>
    </row>
    <row r="61303" spans="3:13" ht="12.75" customHeight="1" x14ac:dyDescent="0.2">
      <c r="C61303"/>
      <c r="M61303"/>
    </row>
    <row r="61304" spans="3:13" ht="12.75" customHeight="1" x14ac:dyDescent="0.2">
      <c r="C61304"/>
      <c r="M61304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7" spans="3:13" ht="12.75" customHeight="1" x14ac:dyDescent="0.2">
      <c r="C61317"/>
      <c r="M61317"/>
    </row>
    <row r="61318" spans="3:13" ht="12.75" customHeight="1" x14ac:dyDescent="0.2">
      <c r="C61318"/>
      <c r="M61318"/>
    </row>
    <row r="61319" spans="3:13" ht="12.75" customHeight="1" x14ac:dyDescent="0.2">
      <c r="C61319"/>
      <c r="M61319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3" spans="3:13" ht="12.75" customHeight="1" x14ac:dyDescent="0.2">
      <c r="C61333"/>
      <c r="M61333"/>
    </row>
    <row r="61334" spans="3:13" ht="12.75" customHeight="1" x14ac:dyDescent="0.2">
      <c r="C61334"/>
      <c r="M61334"/>
    </row>
    <row r="61335" spans="3:13" ht="12.75" customHeight="1" x14ac:dyDescent="0.2">
      <c r="C61335"/>
      <c r="M61335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9" spans="3:13" ht="12.75" customHeight="1" x14ac:dyDescent="0.2">
      <c r="C61349"/>
      <c r="M61349"/>
    </row>
    <row r="61350" spans="3:13" ht="12.75" customHeight="1" x14ac:dyDescent="0.2">
      <c r="C61350"/>
      <c r="M61350"/>
    </row>
    <row r="61351" spans="3:13" ht="12.75" customHeight="1" x14ac:dyDescent="0.2">
      <c r="C61351"/>
      <c r="M61351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5" spans="3:13" ht="12.75" customHeight="1" x14ac:dyDescent="0.2">
      <c r="C61365"/>
      <c r="M61365"/>
    </row>
    <row r="61366" spans="3:13" ht="12.75" customHeight="1" x14ac:dyDescent="0.2">
      <c r="C61366"/>
      <c r="M61366"/>
    </row>
    <row r="61367" spans="3:13" ht="12.75" customHeight="1" x14ac:dyDescent="0.2">
      <c r="C61367"/>
      <c r="M61367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81" spans="3:13" ht="12.75" customHeight="1" x14ac:dyDescent="0.2">
      <c r="C61381"/>
      <c r="M61381"/>
    </row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7" spans="3:13" ht="12.75" customHeight="1" x14ac:dyDescent="0.2">
      <c r="C61397"/>
      <c r="M61397"/>
    </row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3" spans="3:13" ht="12.75" customHeight="1" x14ac:dyDescent="0.2">
      <c r="C61413"/>
      <c r="M61413"/>
    </row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0" hidden="1" customHeight="1" x14ac:dyDescent="0.2"/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</sheetData>
  <sheetProtection password="BD1F" sheet="1" objects="1" scenarios="1" autoFilter="0"/>
  <autoFilter ref="C15:C32"/>
  <mergeCells count="15">
    <mergeCell ref="E15:H15"/>
    <mergeCell ref="E4:F4"/>
    <mergeCell ref="G4:H4"/>
    <mergeCell ref="S4:T4"/>
    <mergeCell ref="U4:Z4"/>
    <mergeCell ref="E5:F5"/>
    <mergeCell ref="G5:H5"/>
    <mergeCell ref="S5:T5"/>
    <mergeCell ref="U5:Z5"/>
    <mergeCell ref="F1:H1"/>
    <mergeCell ref="Q1:R1"/>
    <mergeCell ref="Y1:Z1"/>
    <mergeCell ref="F2:H2"/>
    <mergeCell ref="Q2:R2"/>
    <mergeCell ref="Y2:Z2"/>
  </mergeCells>
  <phoneticPr fontId="38" type="noConversion"/>
  <conditionalFormatting sqref="M12:N15 M23:N23 M20:N20 M26:N27 M30:N30 M32:N32">
    <cfRule type="expression" dxfId="151" priority="6233" stopIfTrue="1">
      <formula>ACOMPANHAMENTO="BM"</formula>
    </cfRule>
    <cfRule type="expression" dxfId="150" priority="6234" stopIfTrue="1">
      <formula>OR($B12=0,$B12=2,$B12=3,$B12=4)</formula>
    </cfRule>
    <cfRule type="expression" dxfId="149" priority="6235" stopIfTrue="1">
      <formula>$B12=1</formula>
    </cfRule>
  </conditionalFormatting>
  <conditionalFormatting sqref="K12:K15 K17:K32">
    <cfRule type="expression" dxfId="148" priority="6236" stopIfTrue="1">
      <formula>OR(ACOMPANHAMENTO="BM",$A$12&lt;&gt;"Manual")</formula>
    </cfRule>
    <cfRule type="expression" dxfId="147" priority="6237" stopIfTrue="1">
      <formula>$B12=1</formula>
    </cfRule>
    <cfRule type="expression" dxfId="146" priority="6238" stopIfTrue="1">
      <formula>OR($B12=2,$B12=3,$B12=4,$B12=0)</formula>
    </cfRule>
  </conditionalFormatting>
  <conditionalFormatting sqref="O12:AA15 O19:AA32">
    <cfRule type="expression" dxfId="145" priority="6239" stopIfTrue="1">
      <formula>ACOMPANHAMENTO="BM"</formula>
    </cfRule>
    <cfRule type="expression" dxfId="144" priority="6240" stopIfTrue="1">
      <formula>AND(O$12&lt;&gt;".",OR($B12=0,$B12=2,$B12=3,$B12=4,AND(O$12="",$B12&lt;&gt;"Empty"),OFFSET(O$12,0,-1)=""))</formula>
    </cfRule>
    <cfRule type="expression" dxfId="143" priority="6241" stopIfTrue="1">
      <formula>AND($B12=1,O$12&lt;&gt;".")</formula>
    </cfRule>
  </conditionalFormatting>
  <conditionalFormatting sqref="M16:N16 M19:N19">
    <cfRule type="expression" dxfId="142" priority="1547" stopIfTrue="1">
      <formula>ACOMPANHAMENTO="BM"</formula>
    </cfRule>
    <cfRule type="expression" dxfId="141" priority="1548" stopIfTrue="1">
      <formula>OR($B16=0,$B16=2,$B16=3,$B16=4)</formula>
    </cfRule>
    <cfRule type="expression" dxfId="140" priority="1549" stopIfTrue="1">
      <formula>$B16=1</formula>
    </cfRule>
  </conditionalFormatting>
  <conditionalFormatting sqref="K16">
    <cfRule type="expression" dxfId="139" priority="1550" stopIfTrue="1">
      <formula>OR(ACOMPANHAMENTO="BM",$A$12&lt;&gt;"Manual")</formula>
    </cfRule>
    <cfRule type="expression" dxfId="138" priority="1551" stopIfTrue="1">
      <formula>$B16=1</formula>
    </cfRule>
    <cfRule type="expression" dxfId="137" priority="1552" stopIfTrue="1">
      <formula>OR($B16=2,$B16=3,$B16=4,$B16=0)</formula>
    </cfRule>
  </conditionalFormatting>
  <conditionalFormatting sqref="O16:AA16">
    <cfRule type="expression" dxfId="136" priority="1553" stopIfTrue="1">
      <formula>ACOMPANHAMENTO="BM"</formula>
    </cfRule>
    <cfRule type="expression" dxfId="135" priority="1554" stopIfTrue="1">
      <formula>AND(O$12&lt;&gt;".",OR($B16=0,$B16=2,$B16=3,$B16=4,AND(O$12="",$B16&lt;&gt;"Empty"),OFFSET(O$12,0,-1)=""))</formula>
    </cfRule>
    <cfRule type="expression" dxfId="134" priority="1555" stopIfTrue="1">
      <formula>AND($B16=1,O$12&lt;&gt;".")</formula>
    </cfRule>
  </conditionalFormatting>
  <conditionalFormatting sqref="M29:N29">
    <cfRule type="expression" dxfId="133" priority="627" stopIfTrue="1">
      <formula>ACOMPANHAMENTO="BM"</formula>
    </cfRule>
    <cfRule type="expression" dxfId="132" priority="628" stopIfTrue="1">
      <formula>OR($B29=0,$B29=2,$B29=3,$B29=4)</formula>
    </cfRule>
    <cfRule type="expression" dxfId="131" priority="629" stopIfTrue="1">
      <formula>$B29=1</formula>
    </cfRule>
  </conditionalFormatting>
  <conditionalFormatting sqref="M25:N25">
    <cfRule type="expression" dxfId="130" priority="436" stopIfTrue="1">
      <formula>ACOMPANHAMENTO="BM"</formula>
    </cfRule>
    <cfRule type="expression" dxfId="129" priority="437" stopIfTrue="1">
      <formula>OR($B25=0,$B25=2,$B25=3,$B25=4)</formula>
    </cfRule>
    <cfRule type="expression" dxfId="128" priority="438" stopIfTrue="1">
      <formula>$B25=1</formula>
    </cfRule>
  </conditionalFormatting>
  <conditionalFormatting sqref="M24:N24">
    <cfRule type="expression" dxfId="127" priority="289" stopIfTrue="1">
      <formula>ACOMPANHAMENTO="BM"</formula>
    </cfRule>
    <cfRule type="expression" dxfId="126" priority="290" stopIfTrue="1">
      <formula>OR($B24=0,$B24=2,$B24=3,$B24=4)</formula>
    </cfRule>
    <cfRule type="expression" dxfId="125" priority="291" stopIfTrue="1">
      <formula>$B24=1</formula>
    </cfRule>
  </conditionalFormatting>
  <conditionalFormatting sqref="M17:N18">
    <cfRule type="expression" dxfId="124" priority="220" stopIfTrue="1">
      <formula>ACOMPANHAMENTO="BM"</formula>
    </cfRule>
    <cfRule type="expression" dxfId="123" priority="221" stopIfTrue="1">
      <formula>OR($B17=0,$B17=2,$B17=3,$B17=4)</formula>
    </cfRule>
    <cfRule type="expression" dxfId="122" priority="222" stopIfTrue="1">
      <formula>$B17=1</formula>
    </cfRule>
  </conditionalFormatting>
  <conditionalFormatting sqref="O17:AA18">
    <cfRule type="expression" dxfId="121" priority="223" stopIfTrue="1">
      <formula>ACOMPANHAMENTO="BM"</formula>
    </cfRule>
    <cfRule type="expression" dxfId="120" priority="224" stopIfTrue="1">
      <formula>AND(O$12&lt;&gt;".",OR($B17=0,$B17=2,$B17=3,$B17=4,AND(O$12="",$B17&lt;&gt;"Empty"),OFFSET(O$12,0,-1)=""))</formula>
    </cfRule>
    <cfRule type="expression" dxfId="119" priority="225" stopIfTrue="1">
      <formula>AND($B17=1,O$12&lt;&gt;".")</formula>
    </cfRule>
  </conditionalFormatting>
  <conditionalFormatting sqref="M21:N22">
    <cfRule type="expression" dxfId="118" priority="211" stopIfTrue="1">
      <formula>ACOMPANHAMENTO="BM"</formula>
    </cfRule>
    <cfRule type="expression" dxfId="117" priority="212" stopIfTrue="1">
      <formula>OR($B21=0,$B21=2,$B21=3,$B21=4)</formula>
    </cfRule>
    <cfRule type="expression" dxfId="116" priority="213" stopIfTrue="1">
      <formula>$B21=1</formula>
    </cfRule>
  </conditionalFormatting>
  <conditionalFormatting sqref="M31:N31">
    <cfRule type="expression" dxfId="115" priority="28" stopIfTrue="1">
      <formula>ACOMPANHAMENTO="BM"</formula>
    </cfRule>
    <cfRule type="expression" dxfId="114" priority="29" stopIfTrue="1">
      <formula>OR($B31=0,$B31=2,$B31=3,$B31=4)</formula>
    </cfRule>
    <cfRule type="expression" dxfId="113" priority="30" stopIfTrue="1">
      <formula>$B31=1</formula>
    </cfRule>
  </conditionalFormatting>
  <conditionalFormatting sqref="M28:N28">
    <cfRule type="expression" dxfId="112" priority="1" stopIfTrue="1">
      <formula>ACOMPANHAMENTO="BM"</formula>
    </cfRule>
    <cfRule type="expression" dxfId="111" priority="2" stopIfTrue="1">
      <formula>OR($B28=0,$B28=2,$B28=3,$B28=4)</formula>
    </cfRule>
    <cfRule type="expression" dxfId="110" priority="3" stopIfTrue="1">
      <formula>$B28=1</formula>
    </cfRule>
  </conditionalFormatting>
  <dataValidations count="4">
    <dataValidation type="decimal" operator="greaterThan" allowBlank="1" showErrorMessage="1" error="Apenas números decimais maiores que zero." sqref="O14 Q14:Z14 O16:O31 Q16:Z31">
      <formula1>0</formula1>
      <formula2>0</formula2>
    </dataValidation>
    <dataValidation type="list" allowBlank="1" showErrorMessage="1" sqref="K14 K16:K31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31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in="3" max="48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0"/>
  <sheetViews>
    <sheetView showGridLines="0" zoomScale="90" zoomScaleNormal="90" workbookViewId="0">
      <pane ySplit="14" topLeftCell="A15" activePane="bottomLeft" state="frozen"/>
      <selection pane="bottomLeft" activeCell="I35" sqref="I35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30" t="s">
        <v>446</v>
      </c>
      <c r="D6" s="630"/>
      <c r="E6" s="630"/>
      <c r="F6" s="630"/>
    </row>
    <row r="8" spans="2:6" ht="33.75" customHeight="1" x14ac:dyDescent="0.2"/>
    <row r="9" spans="2:6" ht="12" customHeight="1" x14ac:dyDescent="0.2">
      <c r="C9" s="631" t="str">
        <f>IF(ACOMPANHAMENTO="BM","Foi selecionado na aba 'MENU' o acompanhamento por BM. Não há necessidade de definição de Eventos.","")</f>
        <v/>
      </c>
      <c r="D9" s="631"/>
      <c r="E9" s="631"/>
      <c r="F9" s="631"/>
    </row>
    <row r="10" spans="2:6" ht="12" customHeight="1" x14ac:dyDescent="0.2">
      <c r="C10" s="631"/>
      <c r="D10" s="631"/>
      <c r="E10" s="631"/>
      <c r="F10" s="631"/>
    </row>
    <row r="11" spans="2:6" ht="12" customHeight="1" x14ac:dyDescent="0.2">
      <c r="C11" s="631"/>
      <c r="D11" s="631"/>
      <c r="E11" s="631"/>
      <c r="F11" s="631"/>
    </row>
    <row r="12" spans="2:6" ht="12" customHeight="1" x14ac:dyDescent="0.2"/>
    <row r="13" spans="2:6" ht="15" x14ac:dyDescent="0.25">
      <c r="C13" s="195" t="s">
        <v>268</v>
      </c>
      <c r="D13" s="632" t="s">
        <v>269</v>
      </c>
      <c r="E13" s="632"/>
      <c r="F13" s="196" t="s">
        <v>270</v>
      </c>
    </row>
    <row r="14" spans="2:6" hidden="1" x14ac:dyDescent="0.2">
      <c r="B14" t="e">
        <f t="shared" ref="B14:B18" ca="1" si="0">CONCATENATE(C14,".",D14)</f>
        <v>#VALUE!</v>
      </c>
      <c r="C14" s="197" t="e">
        <f ca="1">OFFSET(C14,-1,0)+1</f>
        <v>#VALUE!</v>
      </c>
      <c r="D14" s="629"/>
      <c r="E14" s="629"/>
      <c r="F14" s="198" t="e">
        <f ca="1">IF(AUTOEVENTO="Manual",ROUND(SUMPRODUCT((CÁLCULO!$M$15:$M$32=EVENTOS!$C14)*(OFFSET(CÁLCULO!$AA$15,0,1):OFFSET(CÁLCULO!$AL$32,0,-1))),2),0)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33" t="s">
        <v>271</v>
      </c>
      <c r="E15" s="633"/>
      <c r="F15" s="200">
        <f ca="1">IF(AUTOEVENTO="Manual",ROUND(SUMIF(CÁLCULO!$M$15:$M$32,1,ORÇAMENTO!$X$15:$X$32),2),0)</f>
        <v>0</v>
      </c>
    </row>
    <row r="16" spans="2:6" x14ac:dyDescent="0.2">
      <c r="B16" t="str">
        <f t="shared" ca="1" si="0"/>
        <v>2.Serviços Preliminares</v>
      </c>
      <c r="C16" s="197">
        <f ca="1">OFFSET(C16,-1,0)+1</f>
        <v>2</v>
      </c>
      <c r="D16" s="629" t="s">
        <v>454</v>
      </c>
      <c r="E16" s="629"/>
      <c r="F16" s="198">
        <f ca="1">IF(AUTOEVENTO="Manual",ROUND(SUMPRODUCT((CÁLCULO!$M$15:$M$32=EVENTOS!$C16)*(OFFSET(CÁLCULO!$AA$15,0,1):OFFSET(CÁLCULO!$AL$32,0,-1))),2),0)</f>
        <v>0</v>
      </c>
    </row>
    <row r="17" spans="2:6" x14ac:dyDescent="0.2">
      <c r="B17" t="str">
        <f t="shared" ca="1" si="0"/>
        <v xml:space="preserve">3.Terraplanagem </v>
      </c>
      <c r="C17" s="197">
        <f ca="1">OFFSET(C17,-1,0)+1</f>
        <v>3</v>
      </c>
      <c r="D17" s="629" t="s">
        <v>471</v>
      </c>
      <c r="E17" s="629"/>
      <c r="F17" s="198">
        <f ca="1">IF(AUTOEVENTO="Manual",ROUND(SUMPRODUCT((CÁLCULO!$M$15:$M$32=EVENTOS!$C17)*(OFFSET(CÁLCULO!$AA$15,0,1):OFFSET(CÁLCULO!$AL$32,0,-1))),2),0)</f>
        <v>0</v>
      </c>
    </row>
    <row r="18" spans="2:6" x14ac:dyDescent="0.2">
      <c r="B18" t="str">
        <f t="shared" ca="1" si="0"/>
        <v>4.Pavimantação - Pista</v>
      </c>
      <c r="C18" s="197">
        <f ca="1">OFFSET(C18,-1,0)+1</f>
        <v>4</v>
      </c>
      <c r="D18" s="629" t="s">
        <v>472</v>
      </c>
      <c r="E18" s="629"/>
      <c r="F18" s="198">
        <f ca="1">IF(AUTOEVENTO="Manual",ROUND(SUMPRODUCT((CÁLCULO!$M$15:$M$32=EVENTOS!$C18)*(OFFSET(CÁLCULO!$AA$15,0,1):OFFSET(CÁLCULO!$AL$32,0,-1))),2),0)</f>
        <v>0</v>
      </c>
    </row>
    <row r="19" spans="2:6" s="573" customFormat="1" x14ac:dyDescent="0.2">
      <c r="B19" s="573" t="str">
        <f t="shared" ref="B19" ca="1" si="1">CONCATENATE(C19,".",D19)</f>
        <v xml:space="preserve">5.Sinalização Vertical </v>
      </c>
      <c r="C19" s="197">
        <f t="shared" ref="C19" ca="1" si="2">OFFSET(C19,-1,0)+1</f>
        <v>5</v>
      </c>
      <c r="D19" s="629" t="s">
        <v>473</v>
      </c>
      <c r="E19" s="629"/>
      <c r="F19" s="198">
        <f ca="1">IF(AUTOEVENTO="Manual",ROUND(SUMPRODUCT((CÁLCULO!$M$15:$M$32=EVENTOS!$C19)*(OFFSET(CÁLCULO!$AA$15,0,1):OFFSET(CÁLCULO!$AL$32,0,-1))),2),0)</f>
        <v>0</v>
      </c>
    </row>
    <row r="20" spans="2:6" ht="5.0999999999999996" customHeight="1" x14ac:dyDescent="0.2">
      <c r="C20" s="190"/>
      <c r="D20" s="201"/>
      <c r="E20" s="201"/>
      <c r="F20" s="202"/>
    </row>
  </sheetData>
  <sheetProtection password="BD1F" sheet="1" objects="1" scenarios="1"/>
  <mergeCells count="9">
    <mergeCell ref="D19:E19"/>
    <mergeCell ref="D18:E18"/>
    <mergeCell ref="D17:E17"/>
    <mergeCell ref="D16:E16"/>
    <mergeCell ref="C6:F6"/>
    <mergeCell ref="C9:F11"/>
    <mergeCell ref="D13:E13"/>
    <mergeCell ref="D14:E14"/>
    <mergeCell ref="D15:E15"/>
  </mergeCells>
  <phoneticPr fontId="38" type="noConversion"/>
  <conditionalFormatting sqref="C13:F15 C19:F20">
    <cfRule type="expression" dxfId="109" priority="106" stopIfTrue="1">
      <formula>OR(AUTOEVENTO&lt;&gt;"Manual",ACOMPANHAMENTO="BM")</formula>
    </cfRule>
  </conditionalFormatting>
  <conditionalFormatting sqref="C16:F17">
    <cfRule type="expression" dxfId="108" priority="6" stopIfTrue="1">
      <formula>OR(AUTOEVENTO&lt;&gt;"Manual",ACOMPANHAMENTO="BM")</formula>
    </cfRule>
  </conditionalFormatting>
  <conditionalFormatting sqref="C18:F18">
    <cfRule type="expression" dxfId="107" priority="4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48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T14" sqref="T14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IF($E2=-1,0,IF(M$13&lt;=$L1,IF(ISERROR(MATCH(M$13,OFFSET($L1,1,0,ROW($L$32)-ROW($L1)-1),0)),ROW($L$32)-ROW($L1)-1,MATCH(M$13,OFFSET($L1,1,0,ROW($L$32)-ROW($L1)-1),0)-1),0))</f>
        <v>#REF!</v>
      </c>
      <c r="N1" s="211" t="e">
        <f ca="1">IF($E2=-1,0,IF(N$13&lt;=$L1,IF(ISERROR(MATCH(N$13,OFFSET($L1,1,0,ROW($L$32)-ROW($L1)-1),0)),ROW($L$32)-ROW($L1)-1,MATCH(N$13,OFFSET($L1,1,0,ROW($L$32)-ROW($L1)-1),0)-1),0))</f>
        <v>#REF!</v>
      </c>
      <c r="O1" s="211" t="e">
        <f ca="1">IF($E2=-1,0,IF(O$13&lt;=$L1,IF(ISERROR(MATCH(O$13,OFFSET($L1,1,0,ROW($L$32)-ROW($L1)-1),0)),ROW($L$32)-ROW($L1)-1,MATCH(O$13,OFFSET($L1,1,0,ROW($L$32)-ROW($L1)-1),0)-1),0))</f>
        <v>#REF!</v>
      </c>
      <c r="P1" s="211" t="e">
        <f ca="1">IF($E2=-1,0,IF(P$13&lt;=$L1,IF(ISERROR(MATCH(P$13,OFFSET($L1,1,0,ROW($L$32)-ROW($L1)-1),0)),ROW($L$32)-ROW($L1)-1,MATCH(P$13,OFFSET($L1,1,0,ROW($L$32)-ROW($L1)-1),0)-1),0))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$32,"="&amp;CRONO!D$12,CÁLCULO!$AB$15:$AL$32)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$32,"&lt;="&amp;CRONO!T$12,CÁLCULO!$AB$15:$AL$32)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$32,"="&amp;CRONO!U$12,CÁLCULO!$AB$15:$AL$32)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$32,"="&amp;CRONO!V$12,CÁLCULO!$AB$15:$AL$32)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$32,"="&amp;CRONO!W$12,CÁLCULO!$AB$15:$AL$32)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$32,"="&amp;CRONO!X$12,CÁLCULO!$AB$15:$AL$32)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$32,"="&amp;CRONO!Y$12,CÁLCULO!$AB$15:$AL$32)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$32,"="&amp;CRONO!Z$12,CÁLCULO!$AB$15:$AL$32)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$32,"="&amp;CRONO!AA$12,CÁLCULO!$AB$15:$AL$32)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$32,"="&amp;CRONO!AB$12,CÁLCULO!$AB$15:$AL$32)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$32,"="&amp;CRONO!AC$12,CÁLCULO!$AB$15:$AL$32)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$32,"="&amp;CRONO!AD$12,CÁLCULO!$AB$15:$AL$32)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$32,"="&amp;CRONO!AE$12,CÁLCULO!$AB$15:$AL$32)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583" t="s">
        <v>141</v>
      </c>
      <c r="AE4" s="583"/>
    </row>
    <row r="5" spans="1:32" ht="15" x14ac:dyDescent="0.2">
      <c r="R5" s="84" t="str">
        <f>import.recurso</f>
        <v>OGU</v>
      </c>
      <c r="AD5" s="584" t="s">
        <v>144</v>
      </c>
      <c r="AE5" s="584"/>
    </row>
    <row r="6" spans="1:32" ht="12.75" customHeight="1" x14ac:dyDescent="0.2"/>
    <row r="7" spans="1:32" ht="12.75" customHeight="1" x14ac:dyDescent="0.2">
      <c r="E7" s="229"/>
      <c r="G7" s="635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611" t="s">
        <v>211</v>
      </c>
      <c r="G8" s="635"/>
      <c r="H8" s="634">
        <f>Import.CR</f>
        <v>0</v>
      </c>
      <c r="I8" s="634"/>
      <c r="J8" s="236">
        <f>Import.SICONV</f>
        <v>0</v>
      </c>
      <c r="K8" s="644" t="str">
        <f>Import.Proponente</f>
        <v>Prefeitura Municipal de Caçapava do Sul</v>
      </c>
      <c r="L8" s="644"/>
      <c r="M8" s="644"/>
      <c r="N8" s="644"/>
      <c r="O8" s="644"/>
      <c r="P8" s="644"/>
      <c r="Q8" s="644"/>
      <c r="R8" s="644"/>
      <c r="S8" s="644"/>
      <c r="T8" s="634" t="str">
        <f>Import.Apelido</f>
        <v>Calçamento da Rua Lino Azambuja</v>
      </c>
      <c r="U8" s="634"/>
      <c r="V8" s="634"/>
      <c r="W8" s="634"/>
      <c r="X8" s="634"/>
      <c r="Y8" s="641" t="str">
        <f>IF(TIPOORCAMENTO="Licitado",Import.empresa,Import.DescLote)</f>
        <v>Lote Único - Empreitada Preço Global</v>
      </c>
      <c r="Z8" s="641"/>
      <c r="AA8" s="641"/>
      <c r="AB8" s="641"/>
      <c r="AC8" s="641"/>
      <c r="AD8" s="641"/>
      <c r="AE8" s="223" t="str">
        <f>IF(TIPOORCAMENTO="Licitado",Import.CTEF,"")</f>
        <v/>
      </c>
    </row>
    <row r="9" spans="1:32" x14ac:dyDescent="0.2">
      <c r="E9" s="116"/>
      <c r="F9" s="611"/>
      <c r="G9" s="635"/>
    </row>
    <row r="10" spans="1:32" x14ac:dyDescent="0.2">
      <c r="E10" s="229"/>
      <c r="F10" s="611"/>
      <c r="G10" s="237">
        <v>2</v>
      </c>
      <c r="J10" s="645" t="str">
        <f ca="1">IF(MAX($A$13:$A$32)&lt;CRONO.LinhasNecessarias,"ERRO: NÚMERO DE LINHAS DO CRONOGRAMA INSUFICIENTE. CLIQUE EM ATUALIZAR LINHAS.",IF(AND(ACOMPANHAMENTO="PLE",ROUND(OFFSET($AF$42,0,-1),2)=0),"CRONOGRAMA DEVE SER PREENCHIDO POR EVENTOS",IF(ROUND(OFFSET($AF$42,0,-1),2)&lt;&gt;$Q$33,"ERRO: CRONOGRAMA NÃO FECHA 100%","")))</f>
        <v>CRONOGRAMA DEVE SER PREENCHIDO POR EVENTOS</v>
      </c>
      <c r="K10" s="645"/>
      <c r="L10" s="645"/>
      <c r="M10" s="645"/>
      <c r="N10" s="645"/>
      <c r="O10" s="645"/>
      <c r="P10" s="645"/>
      <c r="Q10" s="645"/>
      <c r="R10" s="645"/>
      <c r="S10" s="645"/>
    </row>
    <row r="11" spans="1:32" ht="12.75" customHeight="1" x14ac:dyDescent="0.2">
      <c r="F11" s="611"/>
      <c r="H11" s="238"/>
      <c r="I11" s="238"/>
      <c r="J11" s="645"/>
      <c r="K11" s="645"/>
      <c r="L11" s="645"/>
      <c r="M11" s="645"/>
      <c r="N11" s="645"/>
      <c r="O11" s="645"/>
      <c r="P11" s="645"/>
      <c r="Q11" s="645"/>
      <c r="R11" s="645"/>
      <c r="S11" s="645"/>
    </row>
    <row r="12" spans="1:32" ht="12.75" customHeight="1" x14ac:dyDescent="0.2">
      <c r="D12" s="239">
        <f ca="1">OFFSET(D12,0,-1)+1</f>
        <v>1</v>
      </c>
      <c r="F12" s="108" t="s">
        <v>219</v>
      </c>
      <c r="G12" s="637" t="s">
        <v>276</v>
      </c>
      <c r="H12" s="638" t="s">
        <v>233</v>
      </c>
      <c r="I12" s="639" t="s">
        <v>236</v>
      </c>
      <c r="J12" s="240"/>
      <c r="K12" s="240"/>
      <c r="L12" s="241"/>
      <c r="M12" s="241"/>
      <c r="N12" s="241"/>
      <c r="O12" s="241"/>
      <c r="P12" s="241"/>
      <c r="Q12" s="241"/>
      <c r="R12" s="642" t="s">
        <v>277</v>
      </c>
      <c r="S12" s="643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37"/>
      <c r="H13" s="638"/>
      <c r="I13" s="639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42"/>
      <c r="S13" s="643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RUA LINO AZAMBUJA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IF($E15=-1,0,IF(M$13&lt;=$L14,IF(ISERROR(MATCH(M$13,OFFSET($L14,1,0,ROW($L$32)-ROW($L14)-1),0)),ROW($L$32)-ROW($L14)-1,MATCH(M$13,OFFSET($L14,1,0,ROW($L$32)-ROW($L14)-1),0)-1),0))</f>
        <v>17</v>
      </c>
      <c r="N14" s="211">
        <f ca="1">IF($E15=-1,0,IF(N$13&lt;=$L14,IF(ISERROR(MATCH(N$13,OFFSET($L14,1,0,ROW($L$32)-ROW($L14)-1),0)),ROW($L$32)-ROW($L14)-1,MATCH(N$13,OFFSET($L14,1,0,ROW($L$32)-ROW($L14)-1),0)-1),0))</f>
        <v>0</v>
      </c>
      <c r="O14" s="211">
        <f ca="1">IF($E15=-1,0,IF(O$13&lt;=$L14,IF(ISERROR(MATCH(O$13,OFFSET($L14,1,0,ROW($L$32)-ROW($L14)-1),0)),ROW($L$32)-ROW($L14)-1,MATCH(O$13,OFFSET($L14,1,0,ROW($L$32)-ROW($L14)-1),0)-1),0))</f>
        <v>0</v>
      </c>
      <c r="P14" s="211">
        <f ca="1">IF($E15=-1,0,IF(P$13&lt;=$L14,IF(ISERROR(MATCH(P$13,OFFSET($L14,1,0,ROW($L$32)-ROW($L14)-1),0)),ROW($L$32)-ROW($L14)-1,MATCH(P$13,OFFSET($L14,1,0,ROW($L$32)-ROW($L14)-1),0)-1),0))</f>
        <v>0</v>
      </c>
      <c r="Q14" s="211">
        <f ca="1">MIN(OFFSET(L14,0,1,,L14))</f>
        <v>17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$32,"="&amp;CRONO!D$12,CÁLCULO!$AB$15:$AL$32)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$32,"&lt;="&amp;CRONO!T$12,CÁLCULO!$AB$15:$AL$32)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$32,"="&amp;CRONO!U$12,CÁLCULO!$AB$15:$AL$32)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$32,"="&amp;CRONO!V$12,CÁLCULO!$AB$15:$AL$32)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$32,"="&amp;CRONO!W$12,CÁLCULO!$AB$15:$AL$32)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$32,"="&amp;CRONO!X$12,CÁLCULO!$AB$15:$AL$32)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$32,"="&amp;CRONO!Y$12,CÁLCULO!$AB$15:$AL$32)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$32,"="&amp;CRONO!Z$12,CÁLCULO!$AB$15:$AL$32)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$32,"="&amp;CRONO!AA$12,CÁLCULO!$AB$15:$AL$32)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$32,"="&amp;CRONO!AB$12,CÁLCULO!$AB$15:$AL$32)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$32,"="&amp;CRONO!AC$12,CÁLCULO!$AB$15:$AL$32)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$32,"="&amp;CRONO!AD$12,CÁLCULO!$AB$15:$AL$32)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$32,"="&amp;CRONO!AE$12,CÁLCULO!$AB$15:$AL$32)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IF($E18=-1,0,IF(M$13&lt;=$L17,IF(ISERROR(MATCH(M$13,OFFSET($L17,1,0,ROW($L$32)-ROW($L17)-1),0)),ROW($L$32)-ROW($L17)-1,MATCH(M$13,OFFSET($L17,1,0,ROW($L$32)-ROW($L17)-1),0)-1),0))</f>
        <v>14</v>
      </c>
      <c r="N17" s="211">
        <f ca="1">IF($E18=-1,0,IF(N$13&lt;=$L17,IF(ISERROR(MATCH(N$13,OFFSET($L17,1,0,ROW($L$32)-ROW($L17)-1),0)),ROW($L$32)-ROW($L17)-1,MATCH(N$13,OFFSET($L17,1,0,ROW($L$32)-ROW($L17)-1),0)-1),0))</f>
        <v>2</v>
      </c>
      <c r="O17" s="211">
        <f ca="1">IF($E18=-1,0,IF(O$13&lt;=$L17,IF(ISERROR(MATCH(O$13,OFFSET($L17,1,0,ROW($L$32)-ROW($L17)-1),0)),ROW($L$32)-ROW($L17)-1,MATCH(O$13,OFFSET($L17,1,0,ROW($L$32)-ROW($L17)-1),0)-1),0))</f>
        <v>0</v>
      </c>
      <c r="P17" s="211">
        <f ca="1">IF($E18=-1,0,IF(P$13&lt;=$L17,IF(ISERROR(MATCH(P$13,OFFSET($L17,1,0,ROW($L$32)-ROW($L17)-1),0)),ROW($L$32)-ROW($L17)-1,MATCH(P$13,OFFSET($L17,1,0,ROW($L$32)-ROW($L17)-1),0)-1),0))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$32,"="&amp;CRONO!D$12,CÁLCULO!$AB$15:$AL$32)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$32,"&lt;="&amp;CRONO!T$12,CÁLCULO!$AB$15:$AL$32)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$32,"="&amp;CRONO!U$12,CÁLCULO!$AB$15:$AL$32)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$32,"="&amp;CRONO!V$12,CÁLCULO!$AB$15:$AL$32)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$32,"="&amp;CRONO!W$12,CÁLCULO!$AB$15:$AL$32)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$32,"="&amp;CRONO!X$12,CÁLCULO!$AB$15:$AL$32)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$32,"="&amp;CRONO!Y$12,CÁLCULO!$AB$15:$AL$32)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$32,"="&amp;CRONO!Z$12,CÁLCULO!$AB$15:$AL$32)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$32,"="&amp;CRONO!AA$12,CÁLCULO!$AB$15:$AL$32)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$32,"="&amp;CRONO!AB$12,CÁLCULO!$AB$15:$AL$32)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$32,"="&amp;CRONO!AC$12,CÁLCULO!$AB$15:$AL$32)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$32,"="&amp;CRONO!AD$12,CÁLCULO!$AB$15:$AL$32)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$32,"="&amp;CRONO!AE$12,CÁLCULO!$AB$15:$AL$32)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IF($E21=-1,0,IF(M$13&lt;=$L20,IF(ISERROR(MATCH(M$13,OFFSET($L20,1,0,ROW($L$32)-ROW($L20)-1),0)),ROW($L$32)-ROW($L20)-1,MATCH(M$13,OFFSET($L20,1,0,ROW($L$32)-ROW($L20)-1),0)-1),0))</f>
        <v>11</v>
      </c>
      <c r="N20" s="211">
        <f ca="1">IF($E21=-1,0,IF(N$13&lt;=$L20,IF(ISERROR(MATCH(N$13,OFFSET($L20,1,0,ROW($L$32)-ROW($L20)-1),0)),ROW($L$32)-ROW($L20)-1,MATCH(N$13,OFFSET($L20,1,0,ROW($L$32)-ROW($L20)-1),0)-1),0))</f>
        <v>2</v>
      </c>
      <c r="O20" s="211">
        <f ca="1">IF($E21=-1,0,IF(O$13&lt;=$L20,IF(ISERROR(MATCH(O$13,OFFSET($L20,1,0,ROW($L$32)-ROW($L20)-1),0)),ROW($L$32)-ROW($L20)-1,MATCH(O$13,OFFSET($L20,1,0,ROW($L$32)-ROW($L20)-1),0)-1),0))</f>
        <v>0</v>
      </c>
      <c r="P20" s="211">
        <f ca="1">IF($E21=-1,0,IF(P$13&lt;=$L20,IF(ISERROR(MATCH(P$13,OFFSET($L20,1,0,ROW($L$32)-ROW($L20)-1),0)),ROW($L$32)-ROW($L20)-1,MATCH(P$13,OFFSET($L20,1,0,ROW($L$32)-ROW($L20)-1),0)-1),0))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$32,"="&amp;CRONO!D$12,CÁLCULO!$AB$15:$AL$32)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$32,"&lt;="&amp;CRONO!T$12,CÁLCULO!$AB$15:$AL$32)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$32,"="&amp;CRONO!U$12,CÁLCULO!$AB$15:$AL$32)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$32,"="&amp;CRONO!V$12,CÁLCULO!$AB$15:$AL$32)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$32,"="&amp;CRONO!W$12,CÁLCULO!$AB$15:$AL$32)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$32,"="&amp;CRONO!X$12,CÁLCULO!$AB$15:$AL$32)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$32,"="&amp;CRONO!Y$12,CÁLCULO!$AB$15:$AL$32)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$32,"="&amp;CRONO!Z$12,CÁLCULO!$AB$15:$AL$32)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$32,"="&amp;CRONO!AA$12,CÁLCULO!$AB$15:$AL$32)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$32,"="&amp;CRONO!AB$12,CÁLCULO!$AB$15:$AL$32)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$32,"="&amp;CRONO!AC$12,CÁLCULO!$AB$15:$AL$32)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$32,"="&amp;CRONO!AD$12,CÁLCULO!$AB$15:$AL$32)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$32,"="&amp;CRONO!AE$12,CÁLCULO!$AB$15:$AL$32)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6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IF($E24=-1,0,IF(M$13&lt;=$L23,IF(ISERROR(MATCH(M$13,OFFSET($L23,1,0,ROW($L$32)-ROW($L23)-1),0)),ROW($L$32)-ROW($L23)-1,MATCH(M$13,OFFSET($L23,1,0,ROW($L$32)-ROW($L23)-1),0)-1),0))</f>
        <v>8</v>
      </c>
      <c r="N23" s="211">
        <f ca="1">IF($E24=-1,0,IF(N$13&lt;=$L23,IF(ISERROR(MATCH(N$13,OFFSET($L23,1,0,ROW($L$32)-ROW($L23)-1),0)),ROW($L$32)-ROW($L23)-1,MATCH(N$13,OFFSET($L23,1,0,ROW($L$32)-ROW($L23)-1),0)-1),0))</f>
        <v>2</v>
      </c>
      <c r="O23" s="211">
        <f ca="1">IF($E24=-1,0,IF(O$13&lt;=$L23,IF(ISERROR(MATCH(O$13,OFFSET($L23,1,0,ROW($L$32)-ROW($L23)-1),0)),ROW($L$32)-ROW($L23)-1,MATCH(O$13,OFFSET($L23,1,0,ROW($L$32)-ROW($L23)-1),0)-1),0))</f>
        <v>0</v>
      </c>
      <c r="P23" s="211">
        <f ca="1">IF($E24=-1,0,IF(P$13&lt;=$L23,IF(ISERROR(MATCH(P$13,OFFSET($L23,1,0,ROW($L$32)-ROW($L23)-1),0)),ROW($L$32)-ROW($L23)-1,MATCH(P$13,OFFSET($L23,1,0,ROW($L$32)-ROW($L23)-1),0)-1),0))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$32,"="&amp;CRONO!D$12,CÁLCULO!$AB$15:$AL$32)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$32,"&lt;="&amp;CRONO!T$12,CÁLCULO!$AB$15:$AL$32)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$32,"="&amp;CRONO!U$12,CÁLCULO!$AB$15:$AL$32)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$32,"="&amp;CRONO!V$12,CÁLCULO!$AB$15:$AL$32)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$32,"="&amp;CRONO!W$12,CÁLCULO!$AB$15:$AL$32)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$32,"="&amp;CRONO!X$12,CÁLCULO!$AB$15:$AL$32)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$32,"="&amp;CRONO!Y$12,CÁLCULO!$AB$15:$AL$32)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$32,"="&amp;CRONO!Z$12,CÁLCULO!$AB$15:$AL$32)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$32,"="&amp;CRONO!AA$12,CÁLCULO!$AB$15:$AL$32)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$32,"="&amp;CRONO!AB$12,CÁLCULO!$AB$15:$AL$32)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$32,"="&amp;CRONO!AC$12,CÁLCULO!$AB$15:$AL$32)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$32,"="&amp;CRONO!AD$12,CÁLCULO!$AB$15:$AL$32)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$32,"="&amp;CRONO!AE$12,CÁLCULO!$AB$15:$AL$32)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8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>PAVIMENTAÇÃO - PISTA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IF($E27=-1,0,IF(M$13&lt;=$L26,IF(ISERROR(MATCH(M$13,OFFSET($L26,1,0,ROW($L$32)-ROW($L26)-1),0)),ROW($L$32)-ROW($L26)-1,MATCH(M$13,OFFSET($L26,1,0,ROW($L$32)-ROW($L26)-1),0)-1),0))</f>
        <v>5</v>
      </c>
      <c r="N26" s="211">
        <f ca="1">IF($E27=-1,0,IF(N$13&lt;=$L26,IF(ISERROR(MATCH(N$13,OFFSET($L26,1,0,ROW($L$32)-ROW($L26)-1),0)),ROW($L$32)-ROW($L26)-1,MATCH(N$13,OFFSET($L26,1,0,ROW($L$32)-ROW($L26)-1),0)-1),0))</f>
        <v>2</v>
      </c>
      <c r="O26" s="211">
        <f ca="1">IF($E27=-1,0,IF(O$13&lt;=$L26,IF(ISERROR(MATCH(O$13,OFFSET($L26,1,0,ROW($L$32)-ROW($L26)-1),0)),ROW($L$32)-ROW($L26)-1,MATCH(O$13,OFFSET($L26,1,0,ROW($L$32)-ROW($L26)-1),0)-1),0))</f>
        <v>0</v>
      </c>
      <c r="P26" s="211">
        <f ca="1">IF($E27=-1,0,IF(P$13&lt;=$L26,IF(ISERROR(MATCH(P$13,OFFSET($L26,1,0,ROW($L$32)-ROW($L26)-1),0)),ROW($L$32)-ROW($L26)-1,MATCH(P$13,OFFSET($L26,1,0,ROW($L$32)-ROW($L26)-1),0)-1),0))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$32,"="&amp;CRONO!D$12,CÁLCULO!$AB$15:$AL$32)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$32,"&lt;="&amp;CRONO!T$12,CÁLCULO!$AB$15:$AL$32)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$32,"="&amp;CRONO!U$12,CÁLCULO!$AB$15:$AL$32)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$32,"="&amp;CRONO!V$12,CÁLCULO!$AB$15:$AL$32)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$32,"="&amp;CRONO!W$12,CÁLCULO!$AB$15:$AL$32)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$32,"="&amp;CRONO!X$12,CÁLCULO!$AB$15:$AL$32)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$32,"="&amp;CRONO!Y$12,CÁLCULO!$AB$15:$AL$32)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$32,"="&amp;CRONO!Z$12,CÁLCULO!$AB$15:$AL$32)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$32,"="&amp;CRONO!AA$12,CÁLCULO!$AB$15:$AL$32)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$32,"="&amp;CRONO!AB$12,CÁLCULO!$AB$15:$AL$32)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$32,"="&amp;CRONO!AC$12,CÁLCULO!$AB$15:$AL$32)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$32,"="&amp;CRONO!AD$12,CÁLCULO!$AB$15:$AL$32)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$32,"="&amp;CRONO!AE$12,CÁLCULO!$AB$15:$AL$32)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14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SINALIZAÇÃO VERTICAL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IF($E30=-1,0,IF(M$13&lt;=$L29,IF(ISERROR(MATCH(M$13,OFFSET($L29,1,0,ROW($L$32)-ROW($L29)-1),0)),ROW($L$32)-ROW($L29)-1,MATCH(M$13,OFFSET($L29,1,0,ROW($L$32)-ROW($L29)-1),0)-1),0))</f>
        <v>2</v>
      </c>
      <c r="N29" s="211">
        <f ca="1">IF($E30=-1,0,IF(N$13&lt;=$L29,IF(ISERROR(MATCH(N$13,OFFSET($L29,1,0,ROW($L$32)-ROW($L29)-1),0)),ROW($L$32)-ROW($L29)-1,MATCH(N$13,OFFSET($L29,1,0,ROW($L$32)-ROW($L29)-1),0)-1),0))</f>
        <v>2</v>
      </c>
      <c r="O29" s="211">
        <f ca="1">IF($E30=-1,0,IF(O$13&lt;=$L29,IF(ISERROR(MATCH(O$13,OFFSET($L29,1,0,ROW($L$32)-ROW($L29)-1),0)),ROW($L$32)-ROW($L29)-1,MATCH(O$13,OFFSET($L29,1,0,ROW($L$32)-ROW($L29)-1),0)-1),0))</f>
        <v>0</v>
      </c>
      <c r="P29" s="211">
        <f ca="1">IF($E30=-1,0,IF(P$13&lt;=$L29,IF(ISERROR(MATCH(P$13,OFFSET($L29,1,0,ROW($L$32)-ROW($L29)-1),0)),ROW($L$32)-ROW($L29)-1,MATCH(P$13,OFFSET($L29,1,0,ROW($L$32)-ROW($L29)-1),0)-1),0))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$32,"="&amp;CRONO!D$12,CÁLCULO!$AB$15:$AL$32)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$32,"&lt;="&amp;CRONO!T$12,CÁLCULO!$AB$15:$AL$32)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$32,"="&amp;CRONO!U$12,CÁLCULO!$AB$15:$AL$32)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$32,"="&amp;CRONO!V$12,CÁLCULO!$AB$15:$AL$32)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$32,"="&amp;CRONO!W$12,CÁLCULO!$AB$15:$AL$32)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$32,"="&amp;CRONO!X$12,CÁLCULO!$AB$15:$AL$32)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$32,"="&amp;CRONO!Y$12,CÁLCULO!$AB$15:$AL$32)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$32,"="&amp;CRONO!Z$12,CÁLCULO!$AB$15:$AL$32)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$32,"="&amp;CRONO!AA$12,CÁLCULO!$AB$15:$AL$32)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$32,"="&amp;CRONO!AB$12,CÁLCULO!$AB$15:$AL$32)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$32,"="&amp;CRONO!AC$12,CÁLCULO!$AB$15:$AL$32)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$32,"="&amp;CRONO!AD$12,CÁLCULO!$AB$15:$AL$32)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$32,"="&amp;CRONO!AE$12,CÁLCULO!$AB$15:$AL$32)/(ORÇAMENTO!$X$15-CÁLCULO.TotalAdmLocal)*CRONO!$E31,0),AE30*$R29),SUMIF(OFFSET($R31,1,0,$Q29-2),($L29+1)&amp;"$",OFFSET(AE31,1,0,$Q29-2)))</f>
        <v>0</v>
      </c>
    </row>
    <row r="32" spans="1:32" ht="5.0999999999999996" customHeight="1" x14ac:dyDescent="0.2">
      <c r="D32" s="502"/>
      <c r="F32" s="203" t="s">
        <v>248</v>
      </c>
      <c r="G32" s="504"/>
      <c r="H32" s="505"/>
      <c r="I32" s="506"/>
      <c r="J32" s="506"/>
      <c r="K32" s="506"/>
      <c r="L32" s="507" t="s">
        <v>283</v>
      </c>
      <c r="M32" s="507"/>
      <c r="N32" s="507"/>
      <c r="O32" s="507"/>
      <c r="P32" s="507"/>
      <c r="Q32" s="507"/>
      <c r="R32" s="508"/>
      <c r="S32" s="508"/>
      <c r="T32" s="506"/>
      <c r="U32" s="506"/>
      <c r="V32" s="506"/>
      <c r="W32" s="506"/>
      <c r="X32" s="506"/>
      <c r="Y32" s="506"/>
      <c r="Z32" s="506"/>
      <c r="AA32" s="506"/>
      <c r="AB32" s="506"/>
      <c r="AC32" s="506"/>
      <c r="AD32" s="506"/>
      <c r="AE32" s="509"/>
      <c r="AF32" s="503"/>
    </row>
    <row r="33" spans="4:32" ht="12.75" customHeight="1" x14ac:dyDescent="0.2">
      <c r="D33" s="251" t="e">
        <f ca="1">D37/$Q$33</f>
        <v>#DIV/0!</v>
      </c>
      <c r="F33" s="203" t="s">
        <v>248</v>
      </c>
      <c r="H33" s="636" t="str">
        <f ca="1">"Total:    R$ "&amp;TEXT(Q33,"#.##0,00")</f>
        <v>Total:    R$ 0,00</v>
      </c>
      <c r="I33" s="636"/>
      <c r="J33" s="636"/>
      <c r="K33" s="252"/>
      <c r="Q33" s="253">
        <f ca="1">SUMIF(L12:L32,1,R12:R32)</f>
        <v>0</v>
      </c>
      <c r="R33" s="254"/>
      <c r="S33" s="255" t="s">
        <v>284</v>
      </c>
      <c r="T33" s="256" t="e">
        <f t="shared" ref="T33:AE33" ca="1" si="9">ROUND(T37,2)/$Q$33</f>
        <v>#DIV/0!</v>
      </c>
      <c r="U33" s="257" t="e">
        <f t="shared" ca="1" si="9"/>
        <v>#DIV/0!</v>
      </c>
      <c r="V33" s="257" t="e">
        <f t="shared" ca="1" si="9"/>
        <v>#DIV/0!</v>
      </c>
      <c r="W33" s="257" t="e">
        <f t="shared" ca="1" si="9"/>
        <v>#DIV/0!</v>
      </c>
      <c r="X33" s="257" t="e">
        <f t="shared" ca="1" si="9"/>
        <v>#DIV/0!</v>
      </c>
      <c r="Y33" s="257" t="e">
        <f t="shared" ca="1" si="9"/>
        <v>#DIV/0!</v>
      </c>
      <c r="Z33" s="257" t="e">
        <f t="shared" ca="1" si="9"/>
        <v>#DIV/0!</v>
      </c>
      <c r="AA33" s="257" t="e">
        <f t="shared" ca="1" si="9"/>
        <v>#DIV/0!</v>
      </c>
      <c r="AB33" s="257" t="e">
        <f t="shared" ca="1" si="9"/>
        <v>#DIV/0!</v>
      </c>
      <c r="AC33" s="257" t="e">
        <f t="shared" ca="1" si="9"/>
        <v>#DIV/0!</v>
      </c>
      <c r="AD33" s="257" t="e">
        <f t="shared" ca="1" si="9"/>
        <v>#DIV/0!</v>
      </c>
      <c r="AE33" s="258" t="e">
        <f t="shared" ca="1" si="9"/>
        <v>#DIV/0!</v>
      </c>
    </row>
    <row r="34" spans="4:32" ht="15" customHeight="1" x14ac:dyDescent="0.2">
      <c r="D34" s="259">
        <f ca="1">ROUND(D39,2)-ROUND(C39,2)</f>
        <v>0</v>
      </c>
      <c r="F34" s="203" t="s">
        <v>248</v>
      </c>
      <c r="H34" s="636"/>
      <c r="I34" s="636"/>
      <c r="J34" s="636"/>
      <c r="K34" s="260"/>
      <c r="Q34" s="253"/>
      <c r="R34" s="261"/>
      <c r="S34" s="262" t="str">
        <f>IF(import.recurso="FGTS","Financiamento:","Repasse:")</f>
        <v>Repasse:</v>
      </c>
      <c r="T34" s="263">
        <f ca="1">ROUND(T39,2)</f>
        <v>0</v>
      </c>
      <c r="U34" s="259">
        <f t="shared" ref="U34:AE34" ca="1" si="10">ROUND(U39,2)-ROUND(T39,2)</f>
        <v>0</v>
      </c>
      <c r="V34" s="259">
        <f t="shared" ca="1" si="10"/>
        <v>0</v>
      </c>
      <c r="W34" s="259">
        <f t="shared" ca="1" si="10"/>
        <v>0</v>
      </c>
      <c r="X34" s="259">
        <f t="shared" ca="1" si="10"/>
        <v>0</v>
      </c>
      <c r="Y34" s="259">
        <f t="shared" ca="1" si="10"/>
        <v>0</v>
      </c>
      <c r="Z34" s="259">
        <f t="shared" ca="1" si="10"/>
        <v>0</v>
      </c>
      <c r="AA34" s="259">
        <f t="shared" ca="1" si="10"/>
        <v>0</v>
      </c>
      <c r="AB34" s="259">
        <f t="shared" ca="1" si="10"/>
        <v>0</v>
      </c>
      <c r="AC34" s="259">
        <f t="shared" ca="1" si="10"/>
        <v>0</v>
      </c>
      <c r="AD34" s="259">
        <f t="shared" ca="1" si="10"/>
        <v>0</v>
      </c>
      <c r="AE34" s="264">
        <f t="shared" ca="1" si="10"/>
        <v>0</v>
      </c>
    </row>
    <row r="35" spans="4:32" ht="12.75" customHeight="1" x14ac:dyDescent="0.2">
      <c r="D35" s="259">
        <f ca="1">ROUND(D40,2)-ROUND(C40,2)</f>
        <v>0</v>
      </c>
      <c r="F35" s="203" t="s">
        <v>248</v>
      </c>
      <c r="H35" s="265"/>
      <c r="K35" s="266" t="s">
        <v>285</v>
      </c>
      <c r="Q35" s="253"/>
      <c r="R35" s="267"/>
      <c r="S35" s="268" t="s">
        <v>286</v>
      </c>
      <c r="T35" s="269">
        <f ca="1">ROUND(T40,2)</f>
        <v>0</v>
      </c>
      <c r="U35" s="270">
        <f t="shared" ref="U35:AE35" ca="1" si="11">ROUND(U40,2)-ROUND(T40,2)</f>
        <v>0</v>
      </c>
      <c r="V35" s="270">
        <f t="shared" ca="1" si="11"/>
        <v>0</v>
      </c>
      <c r="W35" s="270">
        <f t="shared" ca="1" si="11"/>
        <v>0</v>
      </c>
      <c r="X35" s="270">
        <f t="shared" ca="1" si="11"/>
        <v>0</v>
      </c>
      <c r="Y35" s="270">
        <f t="shared" ca="1" si="11"/>
        <v>0</v>
      </c>
      <c r="Z35" s="270">
        <f t="shared" ca="1" si="11"/>
        <v>0</v>
      </c>
      <c r="AA35" s="270">
        <f t="shared" ca="1" si="11"/>
        <v>0</v>
      </c>
      <c r="AB35" s="270">
        <f t="shared" ca="1" si="11"/>
        <v>0</v>
      </c>
      <c r="AC35" s="270">
        <f t="shared" ca="1" si="11"/>
        <v>0</v>
      </c>
      <c r="AD35" s="270">
        <f t="shared" ca="1" si="11"/>
        <v>0</v>
      </c>
      <c r="AE35" s="271">
        <f t="shared" ca="1" si="11"/>
        <v>0</v>
      </c>
    </row>
    <row r="36" spans="4:32" x14ac:dyDescent="0.2">
      <c r="D36" s="272">
        <f ca="1">ROUND(D41,2)-ROUND(C41,2)</f>
        <v>0</v>
      </c>
      <c r="F36" s="203" t="s">
        <v>248</v>
      </c>
      <c r="H36" s="265"/>
      <c r="K36" s="266"/>
      <c r="Q36" s="253"/>
      <c r="R36" s="273"/>
      <c r="S36" s="274" t="s">
        <v>287</v>
      </c>
      <c r="T36" s="275">
        <f ca="1">ROUND(T41,2)</f>
        <v>0</v>
      </c>
      <c r="U36" s="272">
        <f t="shared" ref="U36:AE36" ca="1" si="12">ROUND(U41,2)-ROUND(T41,2)</f>
        <v>0</v>
      </c>
      <c r="V36" s="272">
        <f t="shared" ca="1" si="12"/>
        <v>0</v>
      </c>
      <c r="W36" s="272">
        <f t="shared" ca="1" si="12"/>
        <v>0</v>
      </c>
      <c r="X36" s="272">
        <f t="shared" ca="1" si="12"/>
        <v>0</v>
      </c>
      <c r="Y36" s="272">
        <f t="shared" ca="1" si="12"/>
        <v>0</v>
      </c>
      <c r="Z36" s="272">
        <f t="shared" ca="1" si="12"/>
        <v>0</v>
      </c>
      <c r="AA36" s="272">
        <f t="shared" ca="1" si="12"/>
        <v>0</v>
      </c>
      <c r="AB36" s="272">
        <f t="shared" ca="1" si="12"/>
        <v>0</v>
      </c>
      <c r="AC36" s="272">
        <f t="shared" ca="1" si="12"/>
        <v>0</v>
      </c>
      <c r="AD36" s="272">
        <f t="shared" ca="1" si="12"/>
        <v>0</v>
      </c>
      <c r="AE36" s="276">
        <f t="shared" ca="1" si="12"/>
        <v>0</v>
      </c>
    </row>
    <row r="37" spans="4:32" x14ac:dyDescent="0.2">
      <c r="D37" s="277">
        <f ca="1">ROUND(D42,2)-ROUND(C42,2)</f>
        <v>0</v>
      </c>
      <c r="F37" s="203" t="s">
        <v>248</v>
      </c>
      <c r="K37" s="278"/>
      <c r="R37" s="279"/>
      <c r="S37" s="280" t="s">
        <v>288</v>
      </c>
      <c r="T37" s="281">
        <f ca="1">ROUND(T42,2)</f>
        <v>0</v>
      </c>
      <c r="U37" s="282">
        <f t="shared" ref="U37:AE37" ca="1" si="13">ROUND(U42,2)-ROUND(T42,2)</f>
        <v>0</v>
      </c>
      <c r="V37" s="282">
        <f t="shared" ca="1" si="13"/>
        <v>0</v>
      </c>
      <c r="W37" s="282">
        <f t="shared" ca="1" si="13"/>
        <v>0</v>
      </c>
      <c r="X37" s="282">
        <f t="shared" ca="1" si="13"/>
        <v>0</v>
      </c>
      <c r="Y37" s="282">
        <f t="shared" ca="1" si="13"/>
        <v>0</v>
      </c>
      <c r="Z37" s="282">
        <f t="shared" ca="1" si="13"/>
        <v>0</v>
      </c>
      <c r="AA37" s="282">
        <f t="shared" ca="1" si="13"/>
        <v>0</v>
      </c>
      <c r="AB37" s="282">
        <f t="shared" ca="1" si="13"/>
        <v>0</v>
      </c>
      <c r="AC37" s="282">
        <f t="shared" ca="1" si="13"/>
        <v>0</v>
      </c>
      <c r="AD37" s="282">
        <f t="shared" ca="1" si="13"/>
        <v>0</v>
      </c>
      <c r="AE37" s="283">
        <f t="shared" ca="1" si="13"/>
        <v>0</v>
      </c>
    </row>
    <row r="38" spans="4:32" x14ac:dyDescent="0.2">
      <c r="D38" s="251" t="e">
        <f ca="1">D42/$Q$33</f>
        <v>#DIV/0!</v>
      </c>
      <c r="F38" s="203" t="s">
        <v>248</v>
      </c>
      <c r="K38" s="252"/>
      <c r="R38" s="254"/>
      <c r="S38" s="255" t="s">
        <v>284</v>
      </c>
      <c r="T38" s="256" t="e">
        <f ca="1">ROUND(T42,2)/$Q$33</f>
        <v>#DIV/0!</v>
      </c>
      <c r="U38" s="257" t="e">
        <f t="shared" ref="U38:AE38" ca="1" si="14">ROUND(U42,2)/$Q$33</f>
        <v>#DIV/0!</v>
      </c>
      <c r="V38" s="257" t="e">
        <f t="shared" ca="1" si="14"/>
        <v>#DIV/0!</v>
      </c>
      <c r="W38" s="257" t="e">
        <f t="shared" ca="1" si="14"/>
        <v>#DIV/0!</v>
      </c>
      <c r="X38" s="257" t="e">
        <f t="shared" ca="1" si="14"/>
        <v>#DIV/0!</v>
      </c>
      <c r="Y38" s="257" t="e">
        <f t="shared" ca="1" si="14"/>
        <v>#DIV/0!</v>
      </c>
      <c r="Z38" s="257" t="e">
        <f t="shared" ca="1" si="14"/>
        <v>#DIV/0!</v>
      </c>
      <c r="AA38" s="257" t="e">
        <f t="shared" ca="1" si="14"/>
        <v>#DIV/0!</v>
      </c>
      <c r="AB38" s="257" t="e">
        <f t="shared" ca="1" si="14"/>
        <v>#DIV/0!</v>
      </c>
      <c r="AC38" s="257" t="e">
        <f t="shared" ca="1" si="14"/>
        <v>#DIV/0!</v>
      </c>
      <c r="AD38" s="257" t="e">
        <f t="shared" ca="1" si="14"/>
        <v>#DIV/0!</v>
      </c>
      <c r="AE38" s="258" t="e">
        <f t="shared" ca="1" si="14"/>
        <v>#DIV/0!</v>
      </c>
    </row>
    <row r="39" spans="4:32" x14ac:dyDescent="0.2">
      <c r="D39" s="259">
        <f ca="1">ROUND(D42-D41-D40,2)</f>
        <v>0</v>
      </c>
      <c r="F39" s="203" t="s">
        <v>248</v>
      </c>
      <c r="K39" s="260"/>
      <c r="R39" s="261"/>
      <c r="S39" s="262" t="str">
        <f>IF(import.recurso="FGTS","Financiamento:","Repasse:")</f>
        <v>Repasse:</v>
      </c>
      <c r="T39" s="263">
        <f ca="1">ROUND(T42-T41-T40,2)</f>
        <v>0</v>
      </c>
      <c r="U39" s="259">
        <f t="shared" ref="U39:AE39" ca="1" si="15">ROUND(U42-U41-U40,2)</f>
        <v>0</v>
      </c>
      <c r="V39" s="259">
        <f t="shared" ca="1" si="15"/>
        <v>0</v>
      </c>
      <c r="W39" s="259">
        <f t="shared" ca="1" si="15"/>
        <v>0</v>
      </c>
      <c r="X39" s="259">
        <f t="shared" ca="1" si="15"/>
        <v>0</v>
      </c>
      <c r="Y39" s="259">
        <f t="shared" ca="1" si="15"/>
        <v>0</v>
      </c>
      <c r="Z39" s="259">
        <f t="shared" ca="1" si="15"/>
        <v>0</v>
      </c>
      <c r="AA39" s="259">
        <f t="shared" ca="1" si="15"/>
        <v>0</v>
      </c>
      <c r="AB39" s="259">
        <f t="shared" ca="1" si="15"/>
        <v>0</v>
      </c>
      <c r="AC39" s="259">
        <f t="shared" ca="1" si="15"/>
        <v>0</v>
      </c>
      <c r="AD39" s="259">
        <f t="shared" ca="1" si="15"/>
        <v>0</v>
      </c>
      <c r="AE39" s="264">
        <f t="shared" ca="1" si="15"/>
        <v>0</v>
      </c>
      <c r="AF39" s="204">
        <f ca="1">AE39+SUMPRODUCT((OFFSET($B$13,1,0):OFFSET($B$32,-3,0))*IF(ISNUMBER(OFFSET(AF$11,5,0):OFFSET(AF$32,-1,0)),OFFSET(AF$11,5,0):OFFSET(AF$32,-1,0),0))</f>
        <v>0</v>
      </c>
    </row>
    <row r="40" spans="4:32" x14ac:dyDescent="0.2">
      <c r="D40" s="259">
        <f t="array" aca="1" ref="D40" ca="1">C40+SUM((OFFSET($B$13,1,0):OFFSET($B$32,-3,0))*IF(ISNUMBER(OFFSET(D$11,5,0):OFFSET(D$32,-1,0)),OFFSET(D$11,5,0):OFFSET(D$32,-1,0),0))</f>
        <v>0</v>
      </c>
      <c r="F40" s="203" t="s">
        <v>248</v>
      </c>
      <c r="K40" s="266" t="s">
        <v>289</v>
      </c>
      <c r="R40" s="267"/>
      <c r="S40" s="268" t="s">
        <v>286</v>
      </c>
      <c r="T40" s="269">
        <f t="array" aca="1" ref="T40" ca="1">SUM((OFFSET($B$13,1,0):OFFSET($B$32,-3,0))*IF(ISNUMBER(OFFSET(T$11,5,0):OFFSET(T$32,-1,0)),OFFSET(T$11,5,0):OFFSET(T$32,-1,0),0))</f>
        <v>0</v>
      </c>
      <c r="U40" s="270">
        <f t="array" aca="1" ref="U40" ca="1">T40+SUM((OFFSET($B$13,1,0):OFFSET($B$32,-3,0))*IF(ISNUMBER(OFFSET(U$11,5,0):OFFSET(U$32,-1,0)),OFFSET(U$11,5,0):OFFSET(U$32,-1,0),0))</f>
        <v>0</v>
      </c>
      <c r="V40" s="270">
        <f t="array" aca="1" ref="V40" ca="1">U40+SUM((OFFSET($B$13,1,0):OFFSET($B$32,-3,0))*IF(ISNUMBER(OFFSET(V$11,5,0):OFFSET(V$32,-1,0)),OFFSET(V$11,5,0):OFFSET(V$32,-1,0),0))</f>
        <v>0</v>
      </c>
      <c r="W40" s="270">
        <f t="array" aca="1" ref="W40" ca="1">V40+SUM((OFFSET($B$13,1,0):OFFSET($B$32,-3,0))*IF(ISNUMBER(OFFSET(W$11,5,0):OFFSET(W$32,-1,0)),OFFSET(W$11,5,0):OFFSET(W$32,-1,0),0))</f>
        <v>0</v>
      </c>
      <c r="X40" s="270">
        <f t="array" aca="1" ref="X40" ca="1">W40+SUM((OFFSET($B$13,1,0):OFFSET($B$32,-3,0))*IF(ISNUMBER(OFFSET(X$11,5,0):OFFSET(X$32,-1,0)),OFFSET(X$11,5,0):OFFSET(X$32,-1,0),0))</f>
        <v>0</v>
      </c>
      <c r="Y40" s="270">
        <f t="array" aca="1" ref="Y40" ca="1">X40+SUM((OFFSET($B$13,1,0):OFFSET($B$32,-3,0))*IF(ISNUMBER(OFFSET(Y$11,5,0):OFFSET(Y$32,-1,0)),OFFSET(Y$11,5,0):OFFSET(Y$32,-1,0),0))</f>
        <v>0</v>
      </c>
      <c r="Z40" s="270">
        <f t="array" aca="1" ref="Z40" ca="1">Y40+SUM((OFFSET($B$13,1,0):OFFSET($B$32,-3,0))*IF(ISNUMBER(OFFSET(Z$11,5,0):OFFSET(Z$32,-1,0)),OFFSET(Z$11,5,0):OFFSET(Z$32,-1,0),0))</f>
        <v>0</v>
      </c>
      <c r="AA40" s="270">
        <f t="array" aca="1" ref="AA40" ca="1">Z40+SUM((OFFSET($B$13,1,0):OFFSET($B$32,-3,0))*IF(ISNUMBER(OFFSET(AA$11,5,0):OFFSET(AA$32,-1,0)),OFFSET(AA$11,5,0):OFFSET(AA$32,-1,0),0))</f>
        <v>0</v>
      </c>
      <c r="AB40" s="270">
        <f t="array" aca="1" ref="AB40" ca="1">AA40+SUM((OFFSET($B$13,1,0):OFFSET($B$32,-3,0))*IF(ISNUMBER(OFFSET(AB$11,5,0):OFFSET(AB$32,-1,0)),OFFSET(AB$11,5,0):OFFSET(AB$32,-1,0),0))</f>
        <v>0</v>
      </c>
      <c r="AC40" s="270">
        <f t="array" aca="1" ref="AC40" ca="1">AB40+SUM((OFFSET($B$13,1,0):OFFSET($B$32,-3,0))*IF(ISNUMBER(OFFSET(AC$11,5,0):OFFSET(AC$32,-1,0)),OFFSET(AC$11,5,0):OFFSET(AC$32,-1,0),0))</f>
        <v>0</v>
      </c>
      <c r="AD40" s="270">
        <f t="array" aca="1" ref="AD40" ca="1">AC40+SUM((OFFSET($B$13,1,0):OFFSET($B$32,-3,0))*IF(ISNUMBER(OFFSET(AD$11,5,0):OFFSET(AD$32,-1,0)),OFFSET(AD$11,5,0):OFFSET(AD$32,-1,0),0))</f>
        <v>0</v>
      </c>
      <c r="AE40" s="271">
        <f t="array" aca="1" ref="AE40" ca="1">AD40+SUM((OFFSET($B$13,1,0):OFFSET($B$32,-3,0))*IF(ISNUMBER(OFFSET(AE$11,5,0):OFFSET(AE$32,-1,0)),OFFSET(AE$11,5,0):OFFSET(AE$32,-1,0),0))</f>
        <v>0</v>
      </c>
      <c r="AF40" s="204">
        <f ca="1">AE40+SUMPRODUCT((OFFSET($C$13,1,0):OFFSET($C$32,-3,0))*IF(ISNUMBER(OFFSET(AF$11,5,0):OFFSET(AF$32,-1,0)),OFFSET(AF$11,5,0):OFFSET(AF$32,-1,0),0))</f>
        <v>0</v>
      </c>
    </row>
    <row r="41" spans="4:32" x14ac:dyDescent="0.2">
      <c r="D41" s="272">
        <f t="array" aca="1" ref="D41" ca="1">C41+SUM((OFFSET($C$13,1,0):OFFSET($C$32,-3,0))*IF(ISNUMBER(OFFSET(D$11,5,0):OFFSET(D$32,-1,0)),OFFSET(D$11,5,0):OFFSET(D$32,-1,0),0))</f>
        <v>0</v>
      </c>
      <c r="F41" s="203" t="s">
        <v>248</v>
      </c>
      <c r="K41" s="266"/>
      <c r="R41" s="273"/>
      <c r="S41" s="274" t="s">
        <v>287</v>
      </c>
      <c r="T41" s="275">
        <f t="array" aca="1" ref="T41" ca="1">SUM((OFFSET($C$13,1,0):OFFSET($C$32,-3,0))*IF(ISNUMBER(OFFSET(T$11,5,0):OFFSET(T$32,-1,0)),OFFSET(T$11,5,0):OFFSET(T$32,-1,0),0))</f>
        <v>0</v>
      </c>
      <c r="U41" s="272">
        <f t="array" aca="1" ref="U41" ca="1">T41+SUM((OFFSET($C$13,1,0):OFFSET($C$32,-3,0))*IF(ISNUMBER(OFFSET(U$11,5,0):OFFSET(U$32,-1,0)),OFFSET(U$11,5,0):OFFSET(U$32,-1,0),0))</f>
        <v>0</v>
      </c>
      <c r="V41" s="272">
        <f t="array" aca="1" ref="V41" ca="1">U41+SUM((OFFSET($C$13,1,0):OFFSET($C$32,-3,0))*IF(ISNUMBER(OFFSET(V$11,5,0):OFFSET(V$32,-1,0)),OFFSET(V$11,5,0):OFFSET(V$32,-1,0),0))</f>
        <v>0</v>
      </c>
      <c r="W41" s="272">
        <f t="array" aca="1" ref="W41" ca="1">V41+SUM((OFFSET($C$13,1,0):OFFSET($C$32,-3,0))*IF(ISNUMBER(OFFSET(W$11,5,0):OFFSET(W$32,-1,0)),OFFSET(W$11,5,0):OFFSET(W$32,-1,0),0))</f>
        <v>0</v>
      </c>
      <c r="X41" s="272">
        <f t="array" aca="1" ref="X41" ca="1">W41+SUM((OFFSET($C$13,1,0):OFFSET($C$32,-3,0))*IF(ISNUMBER(OFFSET(X$11,5,0):OFFSET(X$32,-1,0)),OFFSET(X$11,5,0):OFFSET(X$32,-1,0),0))</f>
        <v>0</v>
      </c>
      <c r="Y41" s="272">
        <f t="array" aca="1" ref="Y41" ca="1">X41+SUM((OFFSET($C$13,1,0):OFFSET($C$32,-3,0))*IF(ISNUMBER(OFFSET(Y$11,5,0):OFFSET(Y$32,-1,0)),OFFSET(Y$11,5,0):OFFSET(Y$32,-1,0),0))</f>
        <v>0</v>
      </c>
      <c r="Z41" s="272">
        <f t="array" aca="1" ref="Z41" ca="1">Y41+SUM((OFFSET($C$13,1,0):OFFSET($C$32,-3,0))*IF(ISNUMBER(OFFSET(Z$11,5,0):OFFSET(Z$32,-1,0)),OFFSET(Z$11,5,0):OFFSET(Z$32,-1,0),0))</f>
        <v>0</v>
      </c>
      <c r="AA41" s="272">
        <f t="array" aca="1" ref="AA41" ca="1">Z41+SUM((OFFSET($C$13,1,0):OFFSET($C$32,-3,0))*IF(ISNUMBER(OFFSET(AA$11,5,0):OFFSET(AA$32,-1,0)),OFFSET(AA$11,5,0):OFFSET(AA$32,-1,0),0))</f>
        <v>0</v>
      </c>
      <c r="AB41" s="272">
        <f t="array" aca="1" ref="AB41" ca="1">AA41+SUM((OFFSET($C$13,1,0):OFFSET($C$32,-3,0))*IF(ISNUMBER(OFFSET(AB$11,5,0):OFFSET(AB$32,-1,0)),OFFSET(AB$11,5,0):OFFSET(AB$32,-1,0),0))</f>
        <v>0</v>
      </c>
      <c r="AC41" s="272">
        <f t="array" aca="1" ref="AC41" ca="1">AB41+SUM((OFFSET($C$13,1,0):OFFSET($C$32,-3,0))*IF(ISNUMBER(OFFSET(AC$11,5,0):OFFSET(AC$32,-1,0)),OFFSET(AC$11,5,0):OFFSET(AC$32,-1,0),0))</f>
        <v>0</v>
      </c>
      <c r="AD41" s="272">
        <f t="array" aca="1" ref="AD41" ca="1">AC41+SUM((OFFSET($C$13,1,0):OFFSET($C$32,-3,0))*IF(ISNUMBER(OFFSET(AD$11,5,0):OFFSET(AD$32,-1,0)),OFFSET(AD$11,5,0):OFFSET(AD$32,-1,0),0))</f>
        <v>0</v>
      </c>
      <c r="AE41" s="276">
        <f t="array" aca="1" ref="AE41" ca="1">AD41+SUM((OFFSET($C$13,1,0):OFFSET($C$32,-3,0))*IF(ISNUMBER(OFFSET(AE$11,5,0):OFFSET(AE$32,-1,0)),OFFSET(AE$11,5,0):OFFSET(AE$32,-1,0),0))</f>
        <v>0</v>
      </c>
      <c r="AF41" s="204">
        <f ca="1">ROUND(AF42-AF39-AF40,2)</f>
        <v>0</v>
      </c>
    </row>
    <row r="42" spans="4:32" x14ac:dyDescent="0.2">
      <c r="D42" s="277">
        <f ca="1">C42+SUMIF($R$12:$R$32,"1$",D12:D32)</f>
        <v>0</v>
      </c>
      <c r="F42" s="203" t="s">
        <v>248</v>
      </c>
      <c r="K42" s="278"/>
      <c r="R42" s="279"/>
      <c r="S42" s="280" t="s">
        <v>288</v>
      </c>
      <c r="T42" s="281">
        <f ca="1">SUMIF($R$12:$R$32,"1$",T12:T32)</f>
        <v>0</v>
      </c>
      <c r="U42" s="282">
        <f t="shared" ref="U42:AF42" ca="1" si="16">T42+SUMIF($R$12:$R$32,"1$",U12:U32)</f>
        <v>0</v>
      </c>
      <c r="V42" s="282">
        <f t="shared" ca="1" si="16"/>
        <v>0</v>
      </c>
      <c r="W42" s="282">
        <f t="shared" ca="1" si="16"/>
        <v>0</v>
      </c>
      <c r="X42" s="282">
        <f t="shared" ca="1" si="16"/>
        <v>0</v>
      </c>
      <c r="Y42" s="282">
        <f t="shared" ca="1" si="16"/>
        <v>0</v>
      </c>
      <c r="Z42" s="282">
        <f t="shared" ca="1" si="16"/>
        <v>0</v>
      </c>
      <c r="AA42" s="282">
        <f t="shared" ca="1" si="16"/>
        <v>0</v>
      </c>
      <c r="AB42" s="282">
        <f t="shared" ca="1" si="16"/>
        <v>0</v>
      </c>
      <c r="AC42" s="282">
        <f t="shared" ca="1" si="16"/>
        <v>0</v>
      </c>
      <c r="AD42" s="282">
        <f t="shared" ca="1" si="16"/>
        <v>0</v>
      </c>
      <c r="AE42" s="283">
        <f t="shared" ca="1" si="16"/>
        <v>0</v>
      </c>
      <c r="AF42" s="204">
        <f t="shared" ca="1" si="16"/>
        <v>0</v>
      </c>
    </row>
    <row r="43" spans="4:32" x14ac:dyDescent="0.2">
      <c r="F43" s="203" t="s">
        <v>248</v>
      </c>
    </row>
    <row r="44" spans="4:32" ht="32.25" customHeight="1" x14ac:dyDescent="0.2">
      <c r="F44" s="203" t="s">
        <v>248</v>
      </c>
      <c r="H44" s="617" t="str">
        <f>Import.Município</f>
        <v>Caçapava do Sul/RS</v>
      </c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Z44" s="553"/>
      <c r="AA44" s="553"/>
      <c r="AB44" s="553"/>
      <c r="AC44" s="553"/>
      <c r="AD44" s="555"/>
      <c r="AE44" s="555"/>
    </row>
    <row r="45" spans="4:32" x14ac:dyDescent="0.2">
      <c r="F45" s="203" t="s">
        <v>248</v>
      </c>
      <c r="H45" s="10" t="s">
        <v>190</v>
      </c>
      <c r="I45"/>
      <c r="J45"/>
      <c r="K45"/>
      <c r="Z45" s="194" t="s">
        <v>192</v>
      </c>
      <c r="AA45" s="194"/>
      <c r="AB45" s="194"/>
      <c r="AC45" s="194"/>
      <c r="AD45" s="203"/>
      <c r="AE45" s="203"/>
    </row>
    <row r="46" spans="4:32" x14ac:dyDescent="0.2">
      <c r="F46" s="203" t="s">
        <v>248</v>
      </c>
      <c r="H46"/>
      <c r="I46"/>
      <c r="J46"/>
      <c r="K46"/>
      <c r="Z46" s="447" t="str">
        <f t="array" aca="1" ref="Z46:Z48" ca="1">OFFSET(Import.RespOrçamento,0,-1) &amp; " " &amp; Import.RespOrçamento</f>
        <v>Nome: Fernando Cesar Nubias Pereira</v>
      </c>
      <c r="AB46"/>
      <c r="AC46" s="80"/>
      <c r="AD46" s="203"/>
      <c r="AE46" s="203"/>
    </row>
    <row r="47" spans="4:32" x14ac:dyDescent="0.2">
      <c r="F47" s="203" t="s">
        <v>248</v>
      </c>
      <c r="H47" s="640">
        <f ca="1">DADOS!$F$25</f>
        <v>45545</v>
      </c>
      <c r="I47" s="640"/>
      <c r="J47" s="640"/>
      <c r="K47" s="193"/>
      <c r="L47" s="284"/>
      <c r="M47" s="284"/>
      <c r="N47" s="284"/>
      <c r="O47" s="284"/>
      <c r="P47" s="284"/>
      <c r="Q47" s="284"/>
      <c r="R47" s="285"/>
      <c r="Z47" s="447" t="str">
        <f ca="1"/>
        <v>CREA/CAU: RS A - 228673-4</v>
      </c>
      <c r="AB47" s="80"/>
      <c r="AC47" s="80"/>
      <c r="AD47" s="203"/>
      <c r="AE47" s="203"/>
    </row>
    <row r="48" spans="4:32" x14ac:dyDescent="0.2">
      <c r="F48" s="203" t="s">
        <v>248</v>
      </c>
      <c r="H48" s="10" t="s">
        <v>191</v>
      </c>
      <c r="I48"/>
      <c r="J48"/>
      <c r="K48"/>
      <c r="Z48" s="447" t="str">
        <f ca="1"/>
        <v>ART/RRT: 13882809</v>
      </c>
      <c r="AB48" s="80"/>
      <c r="AC48" s="80"/>
      <c r="AD48" s="203"/>
      <c r="AE48" s="203"/>
    </row>
  </sheetData>
  <sheetProtection password="BD1F" sheet="1" objects="1" scenarios="1" autoFilter="0"/>
  <autoFilter ref="F13:F48">
    <filterColumn colId="0">
      <filters>
        <filter val="F"/>
      </filters>
    </filterColumn>
  </autoFilter>
  <mergeCells count="17">
    <mergeCell ref="H47:J47"/>
    <mergeCell ref="AD4:AE4"/>
    <mergeCell ref="AD5:AE5"/>
    <mergeCell ref="Y8:AD8"/>
    <mergeCell ref="R12:R13"/>
    <mergeCell ref="S12:S13"/>
    <mergeCell ref="K8:S8"/>
    <mergeCell ref="T8:X8"/>
    <mergeCell ref="J10:S11"/>
    <mergeCell ref="H44:R44"/>
    <mergeCell ref="F8:F11"/>
    <mergeCell ref="H8:I8"/>
    <mergeCell ref="G7:G9"/>
    <mergeCell ref="H33:J34"/>
    <mergeCell ref="G12:G13"/>
    <mergeCell ref="H12:H13"/>
    <mergeCell ref="I12:I13"/>
  </mergeCells>
  <phoneticPr fontId="38" type="noConversion"/>
  <conditionalFormatting sqref="T12:T13">
    <cfRule type="expression" dxfId="106" priority="1775" stopIfTrue="1">
      <formula>NOT(ISNUMBER(S$12))</formula>
    </cfRule>
  </conditionalFormatting>
  <conditionalFormatting sqref="D2 T2:AF2">
    <cfRule type="expression" dxfId="105" priority="1776" stopIfTrue="1">
      <formula>AND(ISNUMBER($G1),$G1&lt;&gt;0)</formula>
    </cfRule>
  </conditionalFormatting>
  <conditionalFormatting sqref="D33:D37 T34:AE34 T36:AE36">
    <cfRule type="expression" dxfId="104" priority="1781" stopIfTrue="1">
      <formula>D$33=0</formula>
    </cfRule>
  </conditionalFormatting>
  <conditionalFormatting sqref="D38:D42">
    <cfRule type="expression" dxfId="103" priority="1782" stopIfTrue="1">
      <formula>C$38=1</formula>
    </cfRule>
  </conditionalFormatting>
  <conditionalFormatting sqref="U38:AE38 U40:AE40 U42:AE42">
    <cfRule type="expression" dxfId="102" priority="1783" stopIfTrue="1">
      <formula>OFFSET(U$38,0,-1)&gt;=1</formula>
    </cfRule>
  </conditionalFormatting>
  <conditionalFormatting sqref="U39:AE39 U41:AE41">
    <cfRule type="expression" dxfId="101" priority="1784" stopIfTrue="1">
      <formula>OFFSET(U$38,0,-1)&gt;=1</formula>
    </cfRule>
  </conditionalFormatting>
  <conditionalFormatting sqref="T33:AE33 T35:AE35 T37:AE37">
    <cfRule type="expression" dxfId="100" priority="1785" stopIfTrue="1">
      <formula>T$33=0</formula>
    </cfRule>
  </conditionalFormatting>
  <conditionalFormatting sqref="AE7:AE8">
    <cfRule type="expression" dxfId="99" priority="1786" stopIfTrue="1">
      <formula>OR(TIPOORCAMENTO&lt;&gt;"Licitado",QCI.ExisteManual)</formula>
    </cfRule>
  </conditionalFormatting>
  <conditionalFormatting sqref="D1 T1:AE1">
    <cfRule type="expression" dxfId="98" priority="1787" stopIfTrue="1">
      <formula>D1&lt;&gt;0</formula>
    </cfRule>
  </conditionalFormatting>
  <conditionalFormatting sqref="Y7:AD8">
    <cfRule type="expression" dxfId="97" priority="1774" stopIfTrue="1">
      <formula>QCI.ExisteManual</formula>
    </cfRule>
  </conditionalFormatting>
  <conditionalFormatting sqref="D15 D18 D21 T15:AF15 T18:AF18 T21:AF21">
    <cfRule type="expression" dxfId="96" priority="37" stopIfTrue="1">
      <formula>AND(ISNUMBER($G14),$G14&lt;&gt;0)</formula>
    </cfRule>
  </conditionalFormatting>
  <conditionalFormatting sqref="D14 D17 D20 T14:AE14 T17:AE17 T20:AE20">
    <cfRule type="expression" dxfId="95" priority="42" stopIfTrue="1">
      <formula>D14&lt;&gt;0</formula>
    </cfRule>
  </conditionalFormatting>
  <conditionalFormatting sqref="D24 T24:AF24">
    <cfRule type="expression" dxfId="94" priority="31" stopIfTrue="1">
      <formula>AND(ISNUMBER($G23),$G23&lt;&gt;0)</formula>
    </cfRule>
  </conditionalFormatting>
  <conditionalFormatting sqref="D23 T23:AE23">
    <cfRule type="expression" dxfId="93" priority="36" stopIfTrue="1">
      <formula>D23&lt;&gt;0</formula>
    </cfRule>
  </conditionalFormatting>
  <conditionalFormatting sqref="D27 T27:AF27">
    <cfRule type="expression" dxfId="92" priority="11" stopIfTrue="1">
      <formula>AND(ISNUMBER($G26),$G26&lt;&gt;0)</formula>
    </cfRule>
  </conditionalFormatting>
  <conditionalFormatting sqref="D26 T26:AE26">
    <cfRule type="expression" dxfId="91" priority="12" stopIfTrue="1">
      <formula>D26&lt;&gt;0</formula>
    </cfRule>
  </conditionalFormatting>
  <conditionalFormatting sqref="D30 T30:AF30">
    <cfRule type="expression" dxfId="90" priority="9" stopIfTrue="1">
      <formula>AND(ISNUMBER($G29),$G29&lt;&gt;0)</formula>
    </cfRule>
  </conditionalFormatting>
  <conditionalFormatting sqref="D29 T29:AE29">
    <cfRule type="expression" dxfId="89" priority="10" stopIfTrue="1">
      <formula>D29&lt;&gt;0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0"/>
  <sheetViews>
    <sheetView showGridLines="0" tabSelected="1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M27" sqref="M27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IF(AUTOEVENTO="Manual",IF(OFFSET(EVENTOS!$F$14,CRONOPLE!$B1,0)&gt;0,"F",""),IF(CRONOPLE!B1&lt;=MAX(CÁLCULO!$M$15:$M$32),"F",""))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IF(AUTOEVENTO="Manual",IF($B1&lt;&gt;1,OFFSET(EVENTOS!$D$14,$B1,0),0),IF(B1&lt;=MAX(CÁLCULO!$M$15:$M$32),VLOOKUP($B1,CÁLCULO!$M$15:$N$32,2,FALSE),0))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CRONO",IF(MAX($B$14:$B$20)&lt;MAX(CÁLCULO!$M$15:$M$32),"ERRO: NÚMERO DE EVENTOS INSUFICIENTE, CLIQUE EM ATUALIZAR LINHAS",IF(ROUND(OFFSET(CRONO!$AF$42,0,-1),2)&lt;&gt;CRONO!$Q$33,"ERRO: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>TRECHO 01 (Primeiros 67,75m)</v>
      </c>
      <c r="I11" s="292">
        <f ca="1">IF(I$12&gt;CÁLCULO.NúmeroDeFrentes,"",OFFSET(CÁLCULO!$P$12,0,I$12))</f>
        <v>0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46" t="s">
        <v>268</v>
      </c>
      <c r="C12" s="646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46"/>
      <c r="C13" s="646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IF(AUTOEVENTO="Manual",IF(OFFSET(EVENTOS!$F$14,CRONOPLE!$B16,0)&gt;0,"F",""),IF(CRONOPLE!B16&lt;=MAX(CÁLCULO!$M$15:$M$32),"F",""))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IF(AUTOEVENTO="Manual",IF($B16&lt;&gt;1,OFFSET(EVENTOS!$D$14,$B16,0),0),IF(B16&lt;=MAX(CÁLCULO!$M$15:$M$32),VLOOKUP($B16,CÁLCULO!$M$15:$N$32,2,FALSE),0))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IF(AUTOEVENTO="Manual",IF(OFFSET(EVENTOS!$F$14,CRONOPLE!$B17,0)&gt;0,"F",""),IF(CRONOPLE!B17&lt;=MAX(CÁLCULO!$M$15:$M$32),"F",""))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IF(AUTOEVENTO="Manual",IF($B17&lt;&gt;1,OFFSET(EVENTOS!$D$14,$B17,0),0),IF(B17&lt;=MAX(CÁLCULO!$M$15:$M$32),VLOOKUP($B17,CÁLCULO!$M$15:$N$32,2,FALSE),0))</f>
        <v xml:space="preserve">Terraplanagem </v>
      </c>
      <c r="E17" s="288"/>
      <c r="G17" s="288"/>
      <c r="H17" s="288">
        <v>1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IF(AUTOEVENTO="Manual",IF(OFFSET(EVENTOS!$F$14,CRONOPLE!$B18,0)&gt;0,"F",""),IF(CRONOPLE!B18&lt;=MAX(CÁLCULO!$M$15:$M$32),"F",""))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IF(AUTOEVENTO="Manual",IF($B18&lt;&gt;1,OFFSET(EVENTOS!$D$14,$B18,0),0),IF(B18&lt;=MAX(CÁLCULO!$M$15:$M$32),VLOOKUP($B18,CÁLCULO!$M$15:$N$32,2,FALSE),0))</f>
        <v>Pavimantação - Pista</v>
      </c>
      <c r="E18" s="288"/>
      <c r="G18" s="288"/>
      <c r="H18" s="288">
        <v>1</v>
      </c>
      <c r="I18" s="288">
        <v>4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73" customFormat="1" x14ac:dyDescent="0.2">
      <c r="A19" s="7" t="str">
        <f ca="1">IF(AUTOEVENTO="Manual",IF(OFFSET(EVENTOS!$F$14,CRONOPLE!$B19,0)&gt;0,"F",""),IF(CRONOPLE!B19&lt;=MAX(CÁLCULO!$M$15:$M$32),"F",""))</f>
        <v/>
      </c>
      <c r="B19" s="286">
        <f t="shared" ref="B19" ca="1" si="1">OFFSET(B19,-1,0)+1</f>
        <v>5</v>
      </c>
      <c r="C19" s="572" t="str">
        <f ca="1">IF(AUTOEVENTO="Manual",IF($B19&lt;&gt;1,OFFSET(EVENTOS!$D$14,$B19,0),0),IF(B19&lt;=MAX(CÁLCULO!$M$15:$M$32),VLOOKUP($B19,CÁLCULO!$M$15:$N$32,2,FALSE),0))</f>
        <v xml:space="preserve">Sinalização Vertical </v>
      </c>
      <c r="E19" s="288"/>
      <c r="G19" s="288"/>
      <c r="H19" s="288">
        <v>1</v>
      </c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ht="5.0999999999999996" customHeight="1" x14ac:dyDescent="0.2">
      <c r="B20" s="510"/>
      <c r="C20" s="511"/>
      <c r="E20" s="302"/>
      <c r="F20" s="302"/>
      <c r="G20" s="510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/>
      <c r="AC20" s="512"/>
      <c r="AD20" s="512"/>
      <c r="AE20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19 G19:AE19">
    <cfRule type="expression" dxfId="88" priority="103" stopIfTrue="1">
      <formula>IF(OR(E$12&gt;CÁLCULO.NúmeroDeFrentes,ACOMPANHAMENTO="BM"),TRUE,CRONOPLE.ValorDoEvento=0)</formula>
    </cfRule>
  </conditionalFormatting>
  <conditionalFormatting sqref="E16:E17 G16:AE17">
    <cfRule type="expression" dxfId="87" priority="6" stopIfTrue="1">
      <formula>IF(OR(E$12&gt;CÁLCULO.NúmeroDeFrentes,ACOMPANHAMENTO="BM"),TRUE,CRONOPLE.ValorDoEvento=0)</formula>
    </cfRule>
  </conditionalFormatting>
  <conditionalFormatting sqref="E18 G18:AE18">
    <cfRule type="expression" dxfId="86" priority="4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19 G16:AE19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2024-06-28T16:05:21Z</cp:lastPrinted>
  <dcterms:created xsi:type="dcterms:W3CDTF">1997-01-10T22:22:50Z</dcterms:created>
  <dcterms:modified xsi:type="dcterms:W3CDTF">2024-09-10T15:35:59Z</dcterms:modified>
</cp:coreProperties>
</file>