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Setor Licitação\Compartilhada\Calçamento General Neto\"/>
    </mc:Choice>
  </mc:AlternateContent>
  <bookViews>
    <workbookView xWindow="0" yWindow="0" windowWidth="20400" windowHeight="762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BM!$C$15:$C$52</definedName>
    <definedName name="_xlnm._FilterDatabase" localSheetId="5" hidden="1">CÁLCULO!$C$15:$C$52</definedName>
    <definedName name="_xlnm._FilterDatabase" localSheetId="7" hidden="1">CRONO!$F$13:$F$66</definedName>
    <definedName name="_xlnm._FilterDatabase" localSheetId="8" hidden="1">CRONOPLE!$A$13:$A$15</definedName>
    <definedName name="_xlnm._FilterDatabase" localSheetId="4" hidden="1">ORÇAMENTO!$L$15:$L$52</definedName>
    <definedName name="_xlnm._FilterDatabase" localSheetId="9" hidden="1">PLE!$A$13:$A$37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BM!$D$1:$O$67</definedName>
    <definedName name="_xlnm.Print_Area" localSheetId="5">CÁLCULO!$E$4:$S$60</definedName>
    <definedName name="_xlnm.Print_Area" localSheetId="7">CRONO!$H$7:$AF$66</definedName>
    <definedName name="_xlnm.Print_Area" localSheetId="0">MENU!$A$1:$I$25</definedName>
    <definedName name="_xlnm.Print_Area" localSheetId="13">OFÍCIO!$A$1:$G$56</definedName>
    <definedName name="_xlnm.Print_Area" localSheetId="4">ORÇAMENTO!$O$4:$X$69</definedName>
    <definedName name="_xlnm.Print_Area" localSheetId="9">PLE!$B$3:$AG$38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BM!$C$15:$C$52</definedName>
    <definedName name="BM.firstrow" hidden="1">BM!$15:$15</definedName>
    <definedName name="BM.FormulaMed" hidden="1">BM!$AO$7</definedName>
    <definedName name="BM.lastrow" hidden="1">BM!$52:$52</definedName>
    <definedName name="BM.LinhaPadrão" hidden="1">BM!$14:$14</definedName>
    <definedName name="BM.MaxMed" hidden="1">IF(RegimeExecucao="Global",1,BM!$G1)</definedName>
    <definedName name="BM.MCAIXA.Filter" hidden="1">BM!$C$15:$Z$52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CÁLCULO!$C$15:$C$52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CÁLCULO!$52:$52</definedName>
    <definedName name="CÁLCULO.LinhaPadrão" hidden="1">CÁLCULO!$14:$14</definedName>
    <definedName name="CÁLCULO.margemrow" hidden="1">CÁLCULO!$60:$60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CÁLCULO!$52:$52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CÁLCULO!$52:$52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CÁLCULO!$52:$52</definedName>
    <definedName name="CÁLCULO.NúmeroDeEventos" hidden="1">IF(AUTOEVENTO&lt;&gt;"manual",MAX(CÁLCULO!$M$15:$M$52),MAX(OFFSET(EVENTOS!$C$14:$C$23,1,0)))</definedName>
    <definedName name="CÁLCULO.NúmeroDeFrentes" hidden="1">COLUMN(CÁLCULO!$AA$15)-COLUMN(CÁLCULO!$Q$15)</definedName>
    <definedName name="CÁLCULO.TotalAdmLocal" hidden="1">IF(AUTOEVENTO="manual",SUMIF(CÁLCULO!$M$15:$M$52,1,ORÇAMENTO!$X$15:$X$52),0)</definedName>
    <definedName name="CRONO.ColunaPadrão" hidden="1">CRONO!$D:$D</definedName>
    <definedName name="CRONO.Filtro" hidden="1">CRONO!$F$13:$F$66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CRONO!$61:$61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CRONO!$66:$66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CRONOPLE!$23:$23</definedName>
    <definedName name="CRONOPLE.LinhaPadrão" hidden="1">CRONOPLE!$1:$1</definedName>
    <definedName name="CRONOPLE.margemrow" hidden="1">CRONOPLE!$24:$24</definedName>
    <definedName name="CRONOPLE.ValorDoEvento" hidden="1">SUMIF(CÁLCULO!$M$15:$M$52,CRONOPLE!$B1,OFFSET(CÁLCULO!$AA$15:$AA$52,0,CRONOPLE!A$12))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EVENTOS!$23:$23</definedName>
    <definedName name="EVENTOS.LinhaPadrão" hidden="1">EVENTOS!$14:$14</definedName>
    <definedName name="EVENTOS.Lista" hidden="1">EVENTOS!$C$15:OFFSET(EVENTOS!$C$23,-1,0)</definedName>
    <definedName name="EVENTOS.ListaValidacao" hidden="1">EVENTOS!$B$15:OFFSET(EVENTOS!$B$23,-1,0)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BM!$D$55</definedName>
    <definedName name="Import.BMAFAcumulado" hidden="1">OFFSET(BM!$R$15,1,0):OFFSET(BM!$R$52,-1,0)</definedName>
    <definedName name="Import.BMArred" hidden="1">BM!$A$9</definedName>
    <definedName name="Import.CNPJ" hidden="1">DADOS!$F$38</definedName>
    <definedName name="Import.Código" hidden="1">OFFSET(ORÇAMENTO!$Q$15,1,0):OFFSET(ORÇAMENTO!$Q$52,-1,0)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OFFSET(CRONOPLE!$F$15,1,1):OFFSET(CRONOPLE!$AF$23,-1,-1)</definedName>
    <definedName name="Import.CTEF" hidden="1">DADOS!$F$36</definedName>
    <definedName name="Import.CustoUnitário" hidden="1">OFFSET(ORÇAMENTO!$U$15,1,0):OFFSET(ORÇAMENTO!$U$52,-1,0)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OFFSET(ORÇAMENTO!$R$15,1,0):OFFSET(ORÇAMENTO!$R$52,-1,0)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OFFSET(EVENTOS!$D$15,1,0):OFFSET(EVENTOS!$D$23,-1,0)</definedName>
    <definedName name="Import.Fonte" hidden="1">OFFSET(ORÇAMENTO!$P$15,1,0):OFFSET(ORÇAMENTO!$P$52,-1,0)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OFFSET(ORÇAMENTO!$M$15,1,0):OFFSET(ORÇAMENTO!$M$52,-1,0)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OFFSET(ORÇAMENTO!$V$15,1,0):OFFSET(ORÇAMENTO!$V$52,-1,0)</definedName>
    <definedName name="Import.ORÇAMENTO.DivRecurso" hidden="1">OFFSET(ORÇAMENTO!$Y$15,1,0):OFFSET(ORÇAMENTO!$Y$52,-1,0)</definedName>
    <definedName name="Import.ORÇAMENTO.Obs" hidden="1">ORÇAMENTO!$O$58</definedName>
    <definedName name="Import.PLE" hidden="1">OFFSET(PLE!$G$15,1,1):OFFSET(PLE!$AG$23,-1,-1)</definedName>
    <definedName name="Import.PLE.Datas" hidden="1">PLE!$I$26:$AF$26</definedName>
    <definedName name="Import.PLQ" hidden="1">OFFSET(CÁLCULO!$P$15,1,1):OFFSET(CÁLCULO!$AA$52,-1,-1)</definedName>
    <definedName name="Import.PLQ.MemCalc" hidden="1">OFFSET(CÁLCULO!$I$15,1,0):OFFSET(CÁLCULO!$I$52,-1,0)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OFFSET(ORÇAMENTO!$AJ$15,1,0):OFFSET(ORÇAMENTO!$AJ$52,-1,0)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OFFSET(ORÇAMENTO!$S$15,1,0):OFFSET(ORÇAMENTO!$S$52,-1,0)</definedName>
    <definedName name="Import.UnitarioLicitado" hidden="1">OFFSET(ORÇAMENTO!$AL$15,1,0):OFFSET(ORÇAMENTO!$AL$52,-1,0)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ORÇAMENTO!$L$15:$L$52</definedName>
    <definedName name="ORÇAMENTO.firstrow" hidden="1">ORÇAMENTO!$15:$15</definedName>
    <definedName name="ORÇAMENTO.Fonte" hidden="1">ORÇAMENTO!$P1</definedName>
    <definedName name="ORÇAMENTO.lastrow" hidden="1">ORÇAMENTO!$52:$52</definedName>
    <definedName name="ORÇAMENTO.LinhaPadrão" hidden="1">ORÇAMENTO!$14:$14</definedName>
    <definedName name="ORÇAMENTO.ListaCrono" hidden="1">OFFSET(ORÇAMENTO!$AD$15,1,0):OFFSET(ORÇAMENTO!$AD$52,-1,0)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OFFSET(ORÇAMENTO!$P$15,1,0):OFFSET(ORÇAMENTO!$S$52,-1,0)</definedName>
    <definedName name="ORÇAMENTO.PasteFormat2" hidden="1">OFFSET(ORÇAMENTO!$U$15,1,0):OFFSET(ORÇAMENTO!$V$52,-1,0)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OFFSET(ORÇAMENTO!$T$15,1,0):OFFSET(ORÇAMENTO!$T$52,-1,0)</definedName>
    <definedName name="ORÇAMENTO.SumCPMANUAL" hidden="1">SUMIF(ORÇAMENTO!$Z$15:$Z$52,"CP",ORÇAMENTO!$AA$15:$AA$52)</definedName>
    <definedName name="ORÇAMENTO.SumINVMANUAL" hidden="1">SUMIF(ORÇAMENTO!$Z$15:$Z$52,"RP",ORÇAMENTO!$X$15:$X$52)+SUMIF(ORÇAMENTO!$Z$15:$Z$52,"CP",ORÇAMENTO!$X$15:$X$52)+SUMIF(ORÇAMENTO!$Z$15:$Z$52,"OU",ORÇAMENTO!$X$15:$X$52)</definedName>
    <definedName name="ORÇAMENTO.SumOUTROSMANUAL" hidden="1">SUMIF(ORÇAMENTO!$Z$15:$Z$52,"OU",ORÇAMENTO!$AB$15:$AB$52)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PLE!$A$13:$A$37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PLE!$23:$23</definedName>
    <definedName name="PLE.LinhaPadrão" hidden="1">PLE!$1:$1</definedName>
    <definedName name="PLE.margemrow" hidden="1">PLE!$38:$38</definedName>
    <definedName name="PLE.Medicao" hidden="1">PLE!$J$9</definedName>
    <definedName name="PLE.MEDIÇÕES.firstrow" hidden="1">PLE!$24:$24</definedName>
    <definedName name="PLE.MEDIÇÕES.lastrow" hidden="1">PLE!$32:$32</definedName>
    <definedName name="PLE.MEDIÇÕES.LinhaPadrão" hidden="1">PLE!$24:$31</definedName>
    <definedName name="PLE.ValorDoEvento" hidden="1">SUMIF(CÁLCULO!$M$15:$M$52,PLE!$B1,OFFSET(CÁLCULO!$AA$15:$AA$52,0,PLE!A$12))</definedName>
    <definedName name="PO.ValoresBDI" hidden="1">OFFSET(ORÇAMENTO!$AH$15,1,0):OFFSET(ORÇAMENTO!$AH$52,-1,0)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51" i="12" l="1"/>
  <c r="G51" i="12"/>
  <c r="F51" i="12"/>
  <c r="H50" i="12"/>
  <c r="G50" i="12"/>
  <c r="F50" i="12"/>
  <c r="A51" i="5"/>
  <c r="A50" i="5"/>
  <c r="S38" i="6" l="1"/>
  <c r="H42" i="12"/>
  <c r="G42" i="12"/>
  <c r="F42" i="12"/>
  <c r="H41" i="12"/>
  <c r="G41" i="12"/>
  <c r="F41" i="12"/>
  <c r="H40" i="12"/>
  <c r="G40" i="12"/>
  <c r="F40" i="12"/>
  <c r="H39" i="12"/>
  <c r="G39" i="12"/>
  <c r="F39" i="12"/>
  <c r="H38" i="12"/>
  <c r="G38" i="12"/>
  <c r="F38" i="12"/>
  <c r="H37" i="12"/>
  <c r="G37" i="12"/>
  <c r="F37" i="12"/>
  <c r="A42" i="5"/>
  <c r="A41" i="5"/>
  <c r="A40" i="5"/>
  <c r="A39" i="5"/>
  <c r="A38" i="5"/>
  <c r="A37" i="5"/>
  <c r="R23" i="6" l="1"/>
  <c r="S23" i="6"/>
  <c r="H36" i="12" l="1"/>
  <c r="G36" i="12"/>
  <c r="F36" i="12"/>
  <c r="H35" i="12"/>
  <c r="G35" i="12"/>
  <c r="F35" i="12"/>
  <c r="H34" i="12"/>
  <c r="G34" i="12"/>
  <c r="F34" i="12"/>
  <c r="A36" i="5"/>
  <c r="A35" i="5"/>
  <c r="A34" i="5"/>
  <c r="S21" i="6"/>
  <c r="R21" i="6"/>
  <c r="S47" i="6"/>
  <c r="R47" i="6"/>
  <c r="S45" i="6"/>
  <c r="S26" i="6"/>
  <c r="H44" i="12" l="1"/>
  <c r="G44" i="12"/>
  <c r="F44" i="12"/>
  <c r="A44" i="5"/>
  <c r="H47" i="12"/>
  <c r="G47" i="12"/>
  <c r="F47" i="12"/>
  <c r="H46" i="12"/>
  <c r="G46" i="12"/>
  <c r="F46" i="12"/>
  <c r="A47" i="5"/>
  <c r="A46" i="5"/>
  <c r="H45" i="12"/>
  <c r="G45" i="12"/>
  <c r="F45" i="12"/>
  <c r="A45" i="5"/>
  <c r="S28" i="6"/>
  <c r="R28" i="6"/>
  <c r="S27" i="6"/>
  <c r="R27" i="6"/>
  <c r="S30" i="6" l="1"/>
  <c r="S32" i="6" s="1"/>
  <c r="R30" i="6" l="1"/>
  <c r="R33" i="6" s="1"/>
  <c r="S33" i="6"/>
  <c r="S31" i="6"/>
  <c r="Q20" i="6"/>
  <c r="R31" i="6" l="1"/>
  <c r="R32" i="6"/>
  <c r="AJ20" i="5"/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43" i="12" l="1"/>
  <c r="G43" i="12"/>
  <c r="F43" i="12"/>
  <c r="A43" i="5"/>
  <c r="H29" i="12"/>
  <c r="G29" i="12"/>
  <c r="F29" i="12"/>
  <c r="A29" i="5"/>
  <c r="H25" i="12"/>
  <c r="G25" i="12"/>
  <c r="F25" i="12"/>
  <c r="A25" i="5"/>
  <c r="H14" i="13"/>
  <c r="G14" i="13"/>
  <c r="D14" i="11"/>
  <c r="A14" i="11" s="1"/>
  <c r="H49" i="12"/>
  <c r="G49" i="12"/>
  <c r="F49" i="12"/>
  <c r="A49" i="5"/>
  <c r="H31" i="12"/>
  <c r="G31" i="12"/>
  <c r="F31" i="12"/>
  <c r="A31" i="5"/>
  <c r="H30" i="12"/>
  <c r="G30" i="12"/>
  <c r="F30" i="12"/>
  <c r="A30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26" i="12"/>
  <c r="G26" i="12"/>
  <c r="H26" i="12"/>
  <c r="F27" i="12"/>
  <c r="G27" i="12"/>
  <c r="H27" i="12"/>
  <c r="F28" i="12"/>
  <c r="G28" i="12"/>
  <c r="H28" i="12"/>
  <c r="F32" i="12"/>
  <c r="G32" i="12"/>
  <c r="H32" i="12"/>
  <c r="F33" i="12"/>
  <c r="G33" i="12"/>
  <c r="H33" i="12"/>
  <c r="F48" i="12"/>
  <c r="G48" i="12"/>
  <c r="H48" i="12"/>
  <c r="D59" i="12"/>
  <c r="D61" i="12"/>
  <c r="E62" i="12"/>
  <c r="K64" i="12" a="1"/>
  <c r="K65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B19" i="10" s="1"/>
  <c r="I27" i="10"/>
  <c r="N9" i="10" s="1"/>
  <c r="B33" i="10"/>
  <c r="W35" i="10" a="1"/>
  <c r="W38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A38" i="8" s="1"/>
  <c r="A41" i="8" s="1"/>
  <c r="A44" i="8" s="1"/>
  <c r="S52" i="8"/>
  <c r="S57" i="8"/>
  <c r="H62" i="8"/>
  <c r="Z64" i="8" a="1"/>
  <c r="Z65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52" i="6"/>
  <c r="C52" i="6"/>
  <c r="F56" i="6"/>
  <c r="I58" i="6" a="1"/>
  <c r="I58" i="6" s="1"/>
  <c r="T58" i="6" a="1"/>
  <c r="T58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26" i="5"/>
  <c r="A27" i="5"/>
  <c r="A28" i="5"/>
  <c r="A32" i="5"/>
  <c r="A33" i="5"/>
  <c r="A48" i="5"/>
  <c r="O62" i="5"/>
  <c r="O65" i="5"/>
  <c r="T67" i="5" a="1"/>
  <c r="T69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6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E48" i="12"/>
  <c r="F48" i="6"/>
  <c r="E12" i="13"/>
  <c r="A12" i="11"/>
  <c r="E25" i="12"/>
  <c r="F25" i="6"/>
  <c r="F29" i="6"/>
  <c r="E29" i="12"/>
  <c r="E43" i="12"/>
  <c r="F43" i="6"/>
  <c r="O8" i="5"/>
  <c r="A47" i="8" l="1"/>
  <c r="A46" i="4"/>
  <c r="C46" i="4" s="1"/>
  <c r="C3" i="4"/>
  <c r="C19" i="10"/>
  <c r="J14" i="11"/>
  <c r="I14" i="13" s="1"/>
  <c r="C33" i="4"/>
  <c r="A28" i="4"/>
  <c r="C28" i="4" s="1"/>
  <c r="K91" i="4"/>
  <c r="B20" i="10"/>
  <c r="K27" i="10"/>
  <c r="M27" i="10" s="1"/>
  <c r="O27" i="10" s="1"/>
  <c r="Q27" i="10" s="1"/>
  <c r="S27" i="10" s="1"/>
  <c r="U27" i="10" s="1"/>
  <c r="W27" i="10" s="1"/>
  <c r="Y27" i="10" s="1"/>
  <c r="AA27" i="10" s="1"/>
  <c r="AC27" i="10" s="1"/>
  <c r="AE27" i="10" s="1"/>
  <c r="A16" i="4"/>
  <c r="C16" i="4" s="1"/>
  <c r="A47" i="4"/>
  <c r="C47" i="4" s="1"/>
  <c r="W36" i="10"/>
  <c r="O7" i="11"/>
  <c r="N16" i="5"/>
  <c r="D16" i="6" s="1"/>
  <c r="BB16" i="6" s="1"/>
  <c r="C17" i="5"/>
  <c r="AO13" i="6"/>
  <c r="AP13" i="6" s="1"/>
  <c r="A29" i="4"/>
  <c r="W35" i="10"/>
  <c r="W37" i="10"/>
  <c r="AC13" i="6"/>
  <c r="AD13" i="6" s="1"/>
  <c r="AD12" i="6" s="1"/>
  <c r="C4" i="4"/>
  <c r="N10" i="12"/>
  <c r="K52" i="4"/>
  <c r="T67" i="5"/>
  <c r="AM12" i="6"/>
  <c r="L15" i="12"/>
  <c r="C17" i="7"/>
  <c r="C18" i="7" s="1"/>
  <c r="E28" i="14"/>
  <c r="C14" i="14"/>
  <c r="B37" i="14"/>
  <c r="B42" i="14" s="1"/>
  <c r="T68" i="5"/>
  <c r="K67" i="12"/>
  <c r="K66" i="12"/>
  <c r="K64" i="12"/>
  <c r="AX12" i="6"/>
  <c r="D27" i="11"/>
  <c r="H65" i="8"/>
  <c r="P85" i="4"/>
  <c r="F16" i="5"/>
  <c r="A16" i="12"/>
  <c r="H16" i="5"/>
  <c r="O68" i="5"/>
  <c r="F59" i="6"/>
  <c r="T59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B19" i="9" s="1"/>
  <c r="C19" i="9" s="1"/>
  <c r="S30" i="4"/>
  <c r="I59" i="4"/>
  <c r="I89" i="4"/>
  <c r="P45" i="4"/>
  <c r="I105" i="4"/>
  <c r="G5" i="5"/>
  <c r="W8" i="5" s="1"/>
  <c r="AE14" i="5"/>
  <c r="I99" i="4"/>
  <c r="I59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60" i="6"/>
  <c r="Z66" i="8"/>
  <c r="Z64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65" i="12"/>
  <c r="I113" i="4"/>
  <c r="I103" i="4"/>
  <c r="I107" i="4"/>
  <c r="L26" i="13"/>
  <c r="I126" i="4"/>
  <c r="I123" i="4"/>
  <c r="T60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50" i="5" l="1"/>
  <c r="AH51" i="5"/>
  <c r="AH42" i="5"/>
  <c r="AH40" i="5"/>
  <c r="AH41" i="5"/>
  <c r="AH39" i="5"/>
  <c r="AH37" i="5"/>
  <c r="AH38" i="5"/>
  <c r="A17" i="4"/>
  <c r="A48" i="4"/>
  <c r="C19" i="7"/>
  <c r="AH35" i="5"/>
  <c r="AH34" i="5"/>
  <c r="AH36" i="5"/>
  <c r="AH44" i="5"/>
  <c r="AN44" i="5" s="1"/>
  <c r="AH45" i="5"/>
  <c r="AH46" i="5"/>
  <c r="AH47" i="5"/>
  <c r="C20" i="10"/>
  <c r="B21" i="10"/>
  <c r="B22" i="10" s="1"/>
  <c r="B20" i="9"/>
  <c r="B18" i="7"/>
  <c r="A14" i="6"/>
  <c r="N14" i="6" s="1"/>
  <c r="AH20" i="5"/>
  <c r="AH22" i="5"/>
  <c r="AN22" i="5" s="1"/>
  <c r="AH23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48" i="5"/>
  <c r="AH19" i="5"/>
  <c r="AN19" i="5" s="1"/>
  <c r="AH32" i="5"/>
  <c r="AH30" i="5"/>
  <c r="AH31" i="5"/>
  <c r="AH28" i="5"/>
  <c r="AH27" i="5"/>
  <c r="AH29" i="5"/>
  <c r="AN29" i="5" s="1"/>
  <c r="AH49" i="5"/>
  <c r="AH25" i="5"/>
  <c r="AH14" i="5"/>
  <c r="W14" i="5" s="1"/>
  <c r="AH43" i="5"/>
  <c r="AH33" i="5"/>
  <c r="V8" i="5"/>
  <c r="AH21" i="5"/>
  <c r="AH24" i="5"/>
  <c r="AH16" i="5"/>
  <c r="AN16" i="5" s="1"/>
  <c r="AH26" i="5"/>
  <c r="C22" i="4"/>
  <c r="A23" i="4"/>
  <c r="A36" i="4"/>
  <c r="C35" i="4"/>
  <c r="A49" i="4"/>
  <c r="C49" i="4" s="1"/>
  <c r="C48" i="4"/>
  <c r="C17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Z25" i="4" l="1"/>
  <c r="C22" i="10"/>
  <c r="B19" i="7"/>
  <c r="C20" i="7"/>
  <c r="C21" i="7" s="1"/>
  <c r="C22" i="7" s="1"/>
  <c r="B21" i="9"/>
  <c r="B22" i="9" s="1"/>
  <c r="C20" i="9"/>
  <c r="C21" i="10"/>
  <c r="M14" i="6"/>
  <c r="AP14" i="6" s="1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51" i="6" l="1"/>
  <c r="A50" i="6"/>
  <c r="A42" i="6"/>
  <c r="A41" i="6"/>
  <c r="A40" i="6"/>
  <c r="A39" i="6"/>
  <c r="A38" i="6"/>
  <c r="A37" i="6"/>
  <c r="B22" i="7"/>
  <c r="C22" i="9"/>
  <c r="A36" i="6"/>
  <c r="A35" i="6"/>
  <c r="B20" i="7"/>
  <c r="A34" i="6"/>
  <c r="A47" i="6"/>
  <c r="A44" i="6"/>
  <c r="A46" i="6"/>
  <c r="C21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A16" i="6"/>
  <c r="B21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45" i="6" l="1"/>
  <c r="A18" i="6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U109" i="4" s="1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M18" i="6" l="1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AF18" i="6" l="1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C21" i="5"/>
  <c r="E21" i="5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B21" i="6"/>
  <c r="A21" i="12"/>
  <c r="J21" i="12" s="1"/>
  <c r="F21" i="5"/>
  <c r="D21" i="5"/>
  <c r="B21" i="12" s="1"/>
  <c r="B21" i="5"/>
  <c r="G21" i="5"/>
  <c r="AE21" i="5"/>
  <c r="J21" i="5"/>
  <c r="AD21" i="5"/>
  <c r="N21" i="5"/>
  <c r="D21" i="6" s="1"/>
  <c r="K21" i="5"/>
  <c r="H21" i="5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A21" i="6"/>
  <c r="N21" i="6" s="1"/>
  <c r="L21" i="12"/>
  <c r="K21" i="12" s="1"/>
  <c r="H21" i="6"/>
  <c r="BG20" i="6"/>
  <c r="C22" i="5"/>
  <c r="H22" i="5" s="1"/>
  <c r="BG18" i="6"/>
  <c r="R11" i="10"/>
  <c r="S12" i="10"/>
  <c r="BG12" i="6"/>
  <c r="BG14" i="6"/>
  <c r="O11" i="9"/>
  <c r="P12" i="9"/>
  <c r="M21" i="6" l="1"/>
  <c r="AO21" i="6" s="1"/>
  <c r="T21" i="5"/>
  <c r="G22" i="5"/>
  <c r="AD22" i="5"/>
  <c r="AE22" i="5"/>
  <c r="A22" i="12"/>
  <c r="B22" i="6"/>
  <c r="A22" i="6" s="1"/>
  <c r="C23" i="5"/>
  <c r="W22" i="5"/>
  <c r="N22" i="5"/>
  <c r="D22" i="6" s="1"/>
  <c r="AT22" i="6" s="1"/>
  <c r="B22" i="5"/>
  <c r="F22" i="5"/>
  <c r="E22" i="5"/>
  <c r="T12" i="10"/>
  <c r="S11" i="10"/>
  <c r="Q12" i="9"/>
  <c r="P11" i="9"/>
  <c r="AI21" i="6" l="1"/>
  <c r="AJ21" i="6"/>
  <c r="AZ21" i="6"/>
  <c r="AF21" i="6"/>
  <c r="AV21" i="6"/>
  <c r="AS21" i="6"/>
  <c r="AU21" i="6"/>
  <c r="AN21" i="6"/>
  <c r="AP21" i="6"/>
  <c r="BA21" i="6"/>
  <c r="AM21" i="6"/>
  <c r="AY21" i="6"/>
  <c r="AG21" i="6"/>
  <c r="AH21" i="6"/>
  <c r="AT21" i="6"/>
  <c r="AR21" i="6"/>
  <c r="AX21" i="6"/>
  <c r="BF21" i="6"/>
  <c r="BG21" i="6"/>
  <c r="AK21" i="6"/>
  <c r="AE21" i="6"/>
  <c r="BC21" i="6"/>
  <c r="AQ21" i="6"/>
  <c r="BE21" i="6"/>
  <c r="BD21" i="6"/>
  <c r="BB21" i="6"/>
  <c r="BC22" i="6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C24" i="5" l="1"/>
  <c r="N24" i="5" s="1"/>
  <c r="D24" i="6" s="1"/>
  <c r="N24" i="6" s="1"/>
  <c r="A23" i="6"/>
  <c r="M23" i="6" s="1"/>
  <c r="BD23" i="6" s="1"/>
  <c r="AB22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W24" i="5" l="1"/>
  <c r="B24" i="6"/>
  <c r="A24" i="6" s="1"/>
  <c r="AD24" i="5"/>
  <c r="H24" i="5"/>
  <c r="AE24" i="5"/>
  <c r="E24" i="5"/>
  <c r="A24" i="12"/>
  <c r="I24" i="5"/>
  <c r="G24" i="5"/>
  <c r="B24" i="5"/>
  <c r="F24" i="5"/>
  <c r="K19" i="5" s="1"/>
  <c r="AM24" i="6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BF23" i="6"/>
  <c r="AN23" i="6"/>
  <c r="AT23" i="6"/>
  <c r="BG23" i="6"/>
  <c r="AV23" i="6"/>
  <c r="AR23" i="6"/>
  <c r="K23" i="12"/>
  <c r="BE23" i="6"/>
  <c r="AP23" i="6"/>
  <c r="T23" i="5"/>
  <c r="AE23" i="6"/>
  <c r="AH23" i="6"/>
  <c r="BC23" i="6"/>
  <c r="AM23" i="6"/>
  <c r="AY23" i="6"/>
  <c r="BA23" i="6"/>
  <c r="BB23" i="6"/>
  <c r="AQ23" i="6"/>
  <c r="AI23" i="6"/>
  <c r="AF23" i="6"/>
  <c r="C25" i="5"/>
  <c r="W12" i="10"/>
  <c r="V11" i="10"/>
  <c r="S11" i="9"/>
  <c r="T12" i="9"/>
  <c r="AE24" i="6" l="1"/>
  <c r="AG24" i="6"/>
  <c r="AK24" i="6"/>
  <c r="T24" i="5"/>
  <c r="AF24" i="6"/>
  <c r="AI24" i="6"/>
  <c r="AH24" i="6"/>
  <c r="AB24" i="6"/>
  <c r="AD24" i="6"/>
  <c r="AC24" i="6"/>
  <c r="AJ24" i="6"/>
  <c r="C26" i="5"/>
  <c r="AE25" i="5"/>
  <c r="H25" i="5"/>
  <c r="N25" i="5"/>
  <c r="D25" i="6" s="1"/>
  <c r="A25" i="12"/>
  <c r="G25" i="5"/>
  <c r="B25" i="6"/>
  <c r="B25" i="5"/>
  <c r="W25" i="5"/>
  <c r="F25" i="5"/>
  <c r="I25" i="5"/>
  <c r="E25" i="5"/>
  <c r="AD25" i="5"/>
  <c r="W11" i="10"/>
  <c r="X12" i="10"/>
  <c r="T11" i="9"/>
  <c r="U12" i="9"/>
  <c r="A25" i="6" l="1"/>
  <c r="AN25" i="6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H26" i="5"/>
  <c r="J26" i="5"/>
  <c r="B26" i="5"/>
  <c r="N26" i="5"/>
  <c r="D26" i="6" s="1"/>
  <c r="K26" i="5"/>
  <c r="AD26" i="5"/>
  <c r="A26" i="12"/>
  <c r="F26" i="5"/>
  <c r="D26" i="5"/>
  <c r="B26" i="12" s="1"/>
  <c r="E26" i="5"/>
  <c r="AE26" i="5"/>
  <c r="G26" i="5"/>
  <c r="C27" i="5"/>
  <c r="B26" i="6"/>
  <c r="X11" i="10"/>
  <c r="Y12" i="10"/>
  <c r="V12" i="9"/>
  <c r="U11" i="9"/>
  <c r="A26" i="6" l="1"/>
  <c r="M26" i="6" s="1"/>
  <c r="AZ26" i="6" s="1"/>
  <c r="AG25" i="6"/>
  <c r="L26" i="12"/>
  <c r="J26" i="12"/>
  <c r="H26" i="6"/>
  <c r="AC25" i="6"/>
  <c r="AK25" i="6"/>
  <c r="AD25" i="6"/>
  <c r="N27" i="5"/>
  <c r="D27" i="6" s="1"/>
  <c r="AD27" i="5"/>
  <c r="B27" i="5"/>
  <c r="D27" i="5"/>
  <c r="B27" i="12" s="1"/>
  <c r="AE27" i="5"/>
  <c r="B27" i="6"/>
  <c r="A27" i="12"/>
  <c r="C28" i="5"/>
  <c r="G27" i="5"/>
  <c r="H27" i="5"/>
  <c r="F27" i="5"/>
  <c r="E27" i="5"/>
  <c r="J27" i="5"/>
  <c r="K27" i="5"/>
  <c r="AJ25" i="6"/>
  <c r="T25" i="5"/>
  <c r="AE25" i="6"/>
  <c r="AH25" i="6"/>
  <c r="AF25" i="6"/>
  <c r="AB25" i="6"/>
  <c r="AI25" i="6"/>
  <c r="Z12" i="10"/>
  <c r="Y11" i="10"/>
  <c r="W12" i="9"/>
  <c r="V11" i="9"/>
  <c r="N26" i="6" l="1"/>
  <c r="A27" i="6"/>
  <c r="N27" i="6" s="1"/>
  <c r="AT26" i="6"/>
  <c r="AR26" i="6"/>
  <c r="BG26" i="6"/>
  <c r="BA26" i="6"/>
  <c r="AQ26" i="6"/>
  <c r="BC26" i="6"/>
  <c r="AN26" i="6"/>
  <c r="AH26" i="6"/>
  <c r="BE26" i="6"/>
  <c r="AV26" i="6"/>
  <c r="AE26" i="6"/>
  <c r="AJ26" i="6"/>
  <c r="AF26" i="6"/>
  <c r="AX26" i="6"/>
  <c r="AU26" i="6"/>
  <c r="K26" i="12"/>
  <c r="H28" i="5"/>
  <c r="A28" i="12"/>
  <c r="K28" i="5"/>
  <c r="AD28" i="5"/>
  <c r="J28" i="5"/>
  <c r="N28" i="5"/>
  <c r="D28" i="6" s="1"/>
  <c r="AE28" i="5"/>
  <c r="F28" i="5"/>
  <c r="E28" i="5"/>
  <c r="D28" i="5"/>
  <c r="B28" i="12" s="1"/>
  <c r="B28" i="5"/>
  <c r="C29" i="5" s="1"/>
  <c r="B28" i="6"/>
  <c r="G28" i="5"/>
  <c r="L27" i="12"/>
  <c r="J27" i="12"/>
  <c r="T26" i="5"/>
  <c r="AI26" i="6"/>
  <c r="AK26" i="6"/>
  <c r="AG26" i="6"/>
  <c r="H27" i="6"/>
  <c r="T27" i="5" s="1"/>
  <c r="BD26" i="6"/>
  <c r="AO26" i="6"/>
  <c r="AP26" i="6"/>
  <c r="AS26" i="6"/>
  <c r="AM26" i="6"/>
  <c r="AY26" i="6"/>
  <c r="BB26" i="6"/>
  <c r="BF26" i="6"/>
  <c r="AA12" i="10"/>
  <c r="Z11" i="10"/>
  <c r="W11" i="9"/>
  <c r="X12" i="9"/>
  <c r="M27" i="6" l="1"/>
  <c r="AS27" i="6" s="1"/>
  <c r="A28" i="6"/>
  <c r="N28" i="6" s="1"/>
  <c r="K27" i="12"/>
  <c r="L28" i="12"/>
  <c r="J28" i="12"/>
  <c r="H28" i="6"/>
  <c r="T28" i="5" s="1"/>
  <c r="AE29" i="5"/>
  <c r="F29" i="5"/>
  <c r="C30" i="5"/>
  <c r="A29" i="12"/>
  <c r="W29" i="5"/>
  <c r="AD29" i="5"/>
  <c r="B29" i="6"/>
  <c r="H29" i="5"/>
  <c r="G29" i="5"/>
  <c r="K25" i="5" s="1"/>
  <c r="E29" i="5"/>
  <c r="N29" i="5"/>
  <c r="D29" i="6" s="1"/>
  <c r="I29" i="5"/>
  <c r="B29" i="5"/>
  <c r="AA11" i="10"/>
  <c r="AB12" i="10"/>
  <c r="X11" i="9"/>
  <c r="Y12" i="9"/>
  <c r="AK27" i="6" l="1"/>
  <c r="BC27" i="6"/>
  <c r="AH27" i="6"/>
  <c r="BD27" i="6"/>
  <c r="AY27" i="6"/>
  <c r="BB27" i="6"/>
  <c r="AP27" i="6"/>
  <c r="AJ27" i="6"/>
  <c r="BA27" i="6"/>
  <c r="AX27" i="6"/>
  <c r="BG27" i="6"/>
  <c r="AN27" i="6"/>
  <c r="AO27" i="6"/>
  <c r="AV27" i="6"/>
  <c r="AZ27" i="6"/>
  <c r="AE27" i="6"/>
  <c r="AI27" i="6"/>
  <c r="AT27" i="6"/>
  <c r="AF27" i="6"/>
  <c r="AQ27" i="6"/>
  <c r="BF27" i="6"/>
  <c r="AG27" i="6"/>
  <c r="AM27" i="6"/>
  <c r="AR27" i="6"/>
  <c r="AU27" i="6"/>
  <c r="BE27" i="6"/>
  <c r="A29" i="6"/>
  <c r="M28" i="6"/>
  <c r="BA28" i="6" s="1"/>
  <c r="K28" i="12"/>
  <c r="B30" i="5"/>
  <c r="G30" i="5"/>
  <c r="F30" i="5"/>
  <c r="AD30" i="5"/>
  <c r="B30" i="6"/>
  <c r="H30" i="5"/>
  <c r="D30" i="5"/>
  <c r="B30" i="12" s="1"/>
  <c r="E30" i="5"/>
  <c r="C31" i="5"/>
  <c r="K30" i="5"/>
  <c r="A30" i="12"/>
  <c r="AE30" i="5"/>
  <c r="J30" i="5"/>
  <c r="N30" i="5"/>
  <c r="D30" i="6" s="1"/>
  <c r="BF29" i="6"/>
  <c r="AV29" i="6"/>
  <c r="BE29" i="6"/>
  <c r="AX29" i="6"/>
  <c r="AQ29" i="6"/>
  <c r="AO29" i="6"/>
  <c r="AU29" i="6"/>
  <c r="BC29" i="6"/>
  <c r="BA29" i="6"/>
  <c r="N29" i="6"/>
  <c r="M29" i="6"/>
  <c r="H29" i="6"/>
  <c r="AS29" i="6"/>
  <c r="BD29" i="6"/>
  <c r="G29" i="6"/>
  <c r="BB29" i="6"/>
  <c r="AN29" i="6"/>
  <c r="AZ29" i="6"/>
  <c r="BG29" i="6"/>
  <c r="AP29" i="6"/>
  <c r="AM29" i="6"/>
  <c r="AT29" i="6"/>
  <c r="AR29" i="6"/>
  <c r="AY29" i="6"/>
  <c r="AB11" i="10"/>
  <c r="AC12" i="10"/>
  <c r="Y11" i="9"/>
  <c r="Z12" i="9"/>
  <c r="AE28" i="6" l="1"/>
  <c r="AY28" i="6"/>
  <c r="AF28" i="6"/>
  <c r="BG28" i="6"/>
  <c r="AJ28" i="6"/>
  <c r="AM28" i="6"/>
  <c r="BD28" i="6"/>
  <c r="AQ28" i="6"/>
  <c r="BC28" i="6"/>
  <c r="BB28" i="6"/>
  <c r="AH28" i="6"/>
  <c r="AX28" i="6"/>
  <c r="AI28" i="6"/>
  <c r="AU28" i="6"/>
  <c r="BF28" i="6"/>
  <c r="AN28" i="6"/>
  <c r="AP28" i="6"/>
  <c r="AR28" i="6"/>
  <c r="AG28" i="6"/>
  <c r="AO28" i="6"/>
  <c r="AK28" i="6"/>
  <c r="AV28" i="6"/>
  <c r="AT28" i="6"/>
  <c r="AZ28" i="6"/>
  <c r="BE28" i="6"/>
  <c r="AS28" i="6"/>
  <c r="A30" i="6"/>
  <c r="M30" i="6" s="1"/>
  <c r="AG29" i="6"/>
  <c r="T29" i="5"/>
  <c r="AE29" i="6"/>
  <c r="AB29" i="6"/>
  <c r="AC29" i="6"/>
  <c r="AF29" i="6"/>
  <c r="AK29" i="6"/>
  <c r="AH29" i="6"/>
  <c r="AI29" i="6"/>
  <c r="AJ29" i="6"/>
  <c r="H30" i="6"/>
  <c r="AD29" i="6"/>
  <c r="B31" i="6"/>
  <c r="A31" i="12"/>
  <c r="F31" i="5"/>
  <c r="D31" i="5"/>
  <c r="B31" i="12" s="1"/>
  <c r="E31" i="5"/>
  <c r="J31" i="5"/>
  <c r="B31" i="5"/>
  <c r="K31" i="5"/>
  <c r="AD31" i="5"/>
  <c r="C32" i="5"/>
  <c r="N31" i="5"/>
  <c r="D31" i="6" s="1"/>
  <c r="G31" i="5"/>
  <c r="H31" i="5"/>
  <c r="AE31" i="5"/>
  <c r="L30" i="12"/>
  <c r="J30" i="12"/>
  <c r="AD12" i="10"/>
  <c r="AC11" i="10"/>
  <c r="AA12" i="9"/>
  <c r="Z11" i="9"/>
  <c r="N30" i="6" l="1"/>
  <c r="A31" i="6"/>
  <c r="M31" i="6" s="1"/>
  <c r="BE31" i="6" s="1"/>
  <c r="T30" i="5"/>
  <c r="AK30" i="6"/>
  <c r="AG30" i="6"/>
  <c r="AJ30" i="6"/>
  <c r="AE30" i="6"/>
  <c r="AH30" i="6"/>
  <c r="AF30" i="6"/>
  <c r="AI30" i="6"/>
  <c r="E32" i="5"/>
  <c r="B32" i="5"/>
  <c r="D32" i="5"/>
  <c r="B32" i="12" s="1"/>
  <c r="A32" i="12"/>
  <c r="J32" i="5"/>
  <c r="H32" i="5"/>
  <c r="AE32" i="5"/>
  <c r="N32" i="5"/>
  <c r="D32" i="6" s="1"/>
  <c r="AD32" i="5"/>
  <c r="F32" i="5"/>
  <c r="G32" i="5"/>
  <c r="K32" i="5"/>
  <c r="B32" i="6"/>
  <c r="C33" i="5"/>
  <c r="AV30" i="6"/>
  <c r="AQ30" i="6"/>
  <c r="AY30" i="6"/>
  <c r="AP30" i="6"/>
  <c r="BA30" i="6"/>
  <c r="BF30" i="6"/>
  <c r="BD30" i="6"/>
  <c r="AX30" i="6"/>
  <c r="AO30" i="6"/>
  <c r="AU30" i="6"/>
  <c r="AN30" i="6"/>
  <c r="BB30" i="6"/>
  <c r="AS30" i="6"/>
  <c r="BE30" i="6"/>
  <c r="AR30" i="6"/>
  <c r="BC30" i="6"/>
  <c r="AT30" i="6"/>
  <c r="BG30" i="6"/>
  <c r="AZ30" i="6"/>
  <c r="AM30" i="6"/>
  <c r="H31" i="6"/>
  <c r="T31" i="5" s="1"/>
  <c r="K30" i="12"/>
  <c r="L31" i="12"/>
  <c r="J31" i="12"/>
  <c r="AD11" i="10"/>
  <c r="AE12" i="10"/>
  <c r="AB12" i="9"/>
  <c r="AA11" i="9"/>
  <c r="N31" i="6" l="1"/>
  <c r="A32" i="6"/>
  <c r="N32" i="6" s="1"/>
  <c r="K31" i="12"/>
  <c r="AY31" i="6"/>
  <c r="AX31" i="6"/>
  <c r="BA31" i="6"/>
  <c r="AN31" i="6"/>
  <c r="AS31" i="6"/>
  <c r="AR31" i="6"/>
  <c r="AZ31" i="6"/>
  <c r="BF31" i="6"/>
  <c r="AV31" i="6"/>
  <c r="BC31" i="6"/>
  <c r="AK31" i="6"/>
  <c r="AO31" i="6"/>
  <c r="AQ31" i="6"/>
  <c r="AU31" i="6"/>
  <c r="AF31" i="6"/>
  <c r="H32" i="6"/>
  <c r="AH31" i="6"/>
  <c r="AE31" i="6"/>
  <c r="BD31" i="6"/>
  <c r="L32" i="12"/>
  <c r="J32" i="12"/>
  <c r="AI31" i="6"/>
  <c r="AG31" i="6"/>
  <c r="BB31" i="6"/>
  <c r="AJ31" i="6"/>
  <c r="AT31" i="6"/>
  <c r="A33" i="12"/>
  <c r="G33" i="5"/>
  <c r="J33" i="5"/>
  <c r="B33" i="5"/>
  <c r="C34" i="5" s="1"/>
  <c r="AE33" i="5"/>
  <c r="B33" i="6"/>
  <c r="AD33" i="5"/>
  <c r="N33" i="5"/>
  <c r="D33" i="6" s="1"/>
  <c r="E33" i="5"/>
  <c r="H33" i="5"/>
  <c r="D33" i="5"/>
  <c r="B33" i="12" s="1"/>
  <c r="F33" i="5"/>
  <c r="K33" i="5"/>
  <c r="AM31" i="6"/>
  <c r="BG31" i="6"/>
  <c r="AP31" i="6"/>
  <c r="AE11" i="10"/>
  <c r="AF12" i="10"/>
  <c r="AF11" i="10" s="1"/>
  <c r="AC12" i="9"/>
  <c r="AB11" i="9"/>
  <c r="B34" i="5" l="1"/>
  <c r="AE34" i="5"/>
  <c r="AD34" i="5"/>
  <c r="F34" i="6"/>
  <c r="C35" i="5"/>
  <c r="A35" i="12" s="1"/>
  <c r="N34" i="5"/>
  <c r="D34" i="6" s="1"/>
  <c r="B34" i="6"/>
  <c r="W34" i="5"/>
  <c r="A34" i="12"/>
  <c r="H34" i="5"/>
  <c r="E34" i="5"/>
  <c r="G34" i="5"/>
  <c r="F34" i="5"/>
  <c r="E34" i="12"/>
  <c r="M32" i="6"/>
  <c r="AQ32" i="6" s="1"/>
  <c r="A33" i="6"/>
  <c r="M33" i="6" s="1"/>
  <c r="BF33" i="6" s="1"/>
  <c r="K32" i="12"/>
  <c r="L33" i="12"/>
  <c r="J33" i="12"/>
  <c r="T32" i="5"/>
  <c r="H33" i="6"/>
  <c r="AD12" i="9"/>
  <c r="AC11" i="9"/>
  <c r="E35" i="5" l="1"/>
  <c r="F35" i="5"/>
  <c r="B35" i="6"/>
  <c r="AD35" i="5"/>
  <c r="C36" i="5"/>
  <c r="N35" i="5"/>
  <c r="D35" i="6" s="1"/>
  <c r="E35" i="12"/>
  <c r="H35" i="5"/>
  <c r="B35" i="5"/>
  <c r="G35" i="5"/>
  <c r="W35" i="5"/>
  <c r="AE35" i="5"/>
  <c r="AV34" i="6"/>
  <c r="G34" i="6"/>
  <c r="AT34" i="6"/>
  <c r="BF34" i="6"/>
  <c r="AS34" i="6"/>
  <c r="H34" i="6"/>
  <c r="T34" i="5" s="1"/>
  <c r="BE34" i="6"/>
  <c r="M34" i="6"/>
  <c r="AU34" i="6" s="1"/>
  <c r="AQ34" i="6"/>
  <c r="BC34" i="6"/>
  <c r="AP34" i="6"/>
  <c r="BB34" i="6"/>
  <c r="AX34" i="6"/>
  <c r="BA34" i="6"/>
  <c r="AN34" i="6"/>
  <c r="N34" i="6"/>
  <c r="AV32" i="6"/>
  <c r="AP32" i="6"/>
  <c r="AN32" i="6"/>
  <c r="AR32" i="6"/>
  <c r="AO32" i="6"/>
  <c r="AY32" i="6"/>
  <c r="AT32" i="6"/>
  <c r="AG32" i="6"/>
  <c r="AS32" i="6"/>
  <c r="BA32" i="6"/>
  <c r="BC32" i="6"/>
  <c r="AH32" i="6"/>
  <c r="BG32" i="6"/>
  <c r="BE32" i="6"/>
  <c r="AZ32" i="6"/>
  <c r="BF32" i="6"/>
  <c r="AI32" i="6"/>
  <c r="AK32" i="6"/>
  <c r="AX32" i="6"/>
  <c r="AJ32" i="6"/>
  <c r="AE32" i="6"/>
  <c r="N33" i="6"/>
  <c r="AM32" i="6"/>
  <c r="BB32" i="6"/>
  <c r="AU32" i="6"/>
  <c r="AF32" i="6"/>
  <c r="BD32" i="6"/>
  <c r="K33" i="12"/>
  <c r="AY33" i="6"/>
  <c r="AS33" i="6"/>
  <c r="AX33" i="6"/>
  <c r="BD33" i="6"/>
  <c r="AQ33" i="6"/>
  <c r="BE33" i="6"/>
  <c r="BG33" i="6"/>
  <c r="AP33" i="6"/>
  <c r="AO33" i="6"/>
  <c r="AM33" i="6"/>
  <c r="BA33" i="6"/>
  <c r="AN33" i="6"/>
  <c r="AU33" i="6"/>
  <c r="AZ33" i="6"/>
  <c r="BC33" i="6"/>
  <c r="AR33" i="6"/>
  <c r="AV33" i="6"/>
  <c r="BB33" i="6"/>
  <c r="AT33" i="6"/>
  <c r="T33" i="5"/>
  <c r="AG33" i="6"/>
  <c r="AK33" i="6"/>
  <c r="AI33" i="6"/>
  <c r="AE33" i="6"/>
  <c r="AF33" i="6"/>
  <c r="AH33" i="6"/>
  <c r="AJ33" i="6"/>
  <c r="AE12" i="9"/>
  <c r="AE11" i="9" s="1"/>
  <c r="AD11" i="9"/>
  <c r="H36" i="5" l="1"/>
  <c r="N36" i="5"/>
  <c r="D36" i="6" s="1"/>
  <c r="AE36" i="5"/>
  <c r="J36" i="5"/>
  <c r="K36" i="5"/>
  <c r="AD36" i="5"/>
  <c r="B36" i="6"/>
  <c r="D36" i="5"/>
  <c r="B36" i="12" s="1"/>
  <c r="E36" i="5"/>
  <c r="F36" i="5"/>
  <c r="G36" i="5"/>
  <c r="F35" i="6"/>
  <c r="B36" i="5"/>
  <c r="C37" i="5" s="1"/>
  <c r="A36" i="12"/>
  <c r="J36" i="12" s="1"/>
  <c r="AF34" i="6"/>
  <c r="AI34" i="6"/>
  <c r="AK34" i="6"/>
  <c r="AD34" i="6"/>
  <c r="AG34" i="6"/>
  <c r="N35" i="6"/>
  <c r="M35" i="6"/>
  <c r="BF35" i="6" s="1"/>
  <c r="H35" i="6"/>
  <c r="T35" i="5" s="1"/>
  <c r="G35" i="6"/>
  <c r="BD34" i="6"/>
  <c r="BG34" i="6"/>
  <c r="AJ34" i="6"/>
  <c r="AC34" i="6"/>
  <c r="AM34" i="6"/>
  <c r="AZ34" i="6"/>
  <c r="AY34" i="6"/>
  <c r="AB34" i="6"/>
  <c r="AE34" i="6"/>
  <c r="AH34" i="6"/>
  <c r="AO34" i="6"/>
  <c r="AR34" i="6"/>
  <c r="AF37" i="5"/>
  <c r="A37" i="12" l="1"/>
  <c r="W37" i="5"/>
  <c r="AD37" i="5"/>
  <c r="N37" i="5"/>
  <c r="D37" i="6" s="1"/>
  <c r="C38" i="5"/>
  <c r="A38" i="12" s="1"/>
  <c r="F37" i="5"/>
  <c r="G37" i="5"/>
  <c r="S37" i="5"/>
  <c r="AG37" i="5"/>
  <c r="U37" i="5" s="1"/>
  <c r="AN37" i="5" s="1"/>
  <c r="AE37" i="5"/>
  <c r="B37" i="6"/>
  <c r="B37" i="5"/>
  <c r="E37" i="5"/>
  <c r="H37" i="5"/>
  <c r="F37" i="6"/>
  <c r="E37" i="12"/>
  <c r="AR35" i="6"/>
  <c r="BE35" i="6"/>
  <c r="AX35" i="6"/>
  <c r="BD35" i="6"/>
  <c r="AY35" i="6"/>
  <c r="AQ35" i="6"/>
  <c r="BG35" i="6"/>
  <c r="BB35" i="6"/>
  <c r="AO35" i="6"/>
  <c r="L36" i="12"/>
  <c r="K36" i="12" s="1"/>
  <c r="AH35" i="6"/>
  <c r="AN35" i="6"/>
  <c r="AU35" i="6"/>
  <c r="BA35" i="6"/>
  <c r="AB35" i="6"/>
  <c r="AE35" i="6"/>
  <c r="N36" i="6"/>
  <c r="M36" i="6"/>
  <c r="AM36" i="6" s="1"/>
  <c r="H36" i="6"/>
  <c r="T36" i="5" s="1"/>
  <c r="AK35" i="6"/>
  <c r="AF35" i="6"/>
  <c r="AC35" i="6"/>
  <c r="AP35" i="6"/>
  <c r="AD35" i="6"/>
  <c r="AI35" i="6"/>
  <c r="AM35" i="6"/>
  <c r="BC35" i="6"/>
  <c r="AV35" i="6"/>
  <c r="AZ35" i="6"/>
  <c r="AS35" i="6"/>
  <c r="AJ35" i="6"/>
  <c r="AT35" i="6"/>
  <c r="AG35" i="6"/>
  <c r="AE38" i="5" l="1"/>
  <c r="N38" i="5"/>
  <c r="D38" i="6" s="1"/>
  <c r="B38" i="6"/>
  <c r="AD38" i="5"/>
  <c r="B38" i="5"/>
  <c r="G38" i="5"/>
  <c r="F38" i="5"/>
  <c r="D38" i="5"/>
  <c r="B38" i="12" s="1"/>
  <c r="C39" i="5"/>
  <c r="AD39" i="5" s="1"/>
  <c r="E38" i="5"/>
  <c r="J38" i="5"/>
  <c r="H38" i="5"/>
  <c r="K38" i="5"/>
  <c r="J38" i="12"/>
  <c r="L38" i="12"/>
  <c r="AT37" i="6"/>
  <c r="BB37" i="6"/>
  <c r="AO37" i="6"/>
  <c r="BE37" i="6"/>
  <c r="AZ37" i="6"/>
  <c r="N37" i="6"/>
  <c r="AN37" i="6"/>
  <c r="M37" i="6"/>
  <c r="AY37" i="6" s="1"/>
  <c r="BD37" i="6"/>
  <c r="AU37" i="6"/>
  <c r="AM37" i="6"/>
  <c r="H37" i="6"/>
  <c r="T37" i="5" s="1"/>
  <c r="AR37" i="6"/>
  <c r="G37" i="6"/>
  <c r="BA37" i="6"/>
  <c r="AV36" i="6"/>
  <c r="AP36" i="6"/>
  <c r="AX36" i="6"/>
  <c r="BG36" i="6"/>
  <c r="BE36" i="6"/>
  <c r="AT36" i="6"/>
  <c r="AR36" i="6"/>
  <c r="AY36" i="6"/>
  <c r="BB36" i="6"/>
  <c r="BD36" i="6"/>
  <c r="AS36" i="6"/>
  <c r="BF36" i="6"/>
  <c r="BC36" i="6"/>
  <c r="AZ36" i="6"/>
  <c r="AF36" i="6"/>
  <c r="AU36" i="6"/>
  <c r="AO36" i="6"/>
  <c r="AN36" i="6"/>
  <c r="AQ36" i="6"/>
  <c r="BA36" i="6"/>
  <c r="AJ36" i="6"/>
  <c r="AG36" i="6"/>
  <c r="AH36" i="6"/>
  <c r="AE36" i="6"/>
  <c r="AK36" i="6"/>
  <c r="AI36" i="6"/>
  <c r="F44" i="6"/>
  <c r="E44" i="12"/>
  <c r="D39" i="5" l="1"/>
  <c r="B39" i="12" s="1"/>
  <c r="E39" i="5"/>
  <c r="F39" i="5"/>
  <c r="G39" i="5"/>
  <c r="K38" i="12"/>
  <c r="K39" i="5"/>
  <c r="J39" i="5"/>
  <c r="B39" i="5"/>
  <c r="A39" i="12"/>
  <c r="J39" i="12" s="1"/>
  <c r="B39" i="6"/>
  <c r="AE39" i="5"/>
  <c r="C40" i="5"/>
  <c r="AD40" i="5" s="1"/>
  <c r="N39" i="5"/>
  <c r="D39" i="6" s="1"/>
  <c r="H39" i="5"/>
  <c r="AB37" i="6"/>
  <c r="AG37" i="6"/>
  <c r="AV37" i="6"/>
  <c r="AQ37" i="6"/>
  <c r="AS37" i="6"/>
  <c r="AK37" i="6"/>
  <c r="BC37" i="6"/>
  <c r="AD37" i="6"/>
  <c r="AX37" i="6"/>
  <c r="AP37" i="6"/>
  <c r="BG37" i="6"/>
  <c r="H38" i="6"/>
  <c r="T38" i="5" s="1"/>
  <c r="N38" i="6"/>
  <c r="M38" i="6"/>
  <c r="AT38" i="6" s="1"/>
  <c r="AH37" i="6"/>
  <c r="AE37" i="6"/>
  <c r="AF37" i="6"/>
  <c r="AJ37" i="6"/>
  <c r="AC37" i="6"/>
  <c r="AI37" i="6"/>
  <c r="BF37" i="6"/>
  <c r="AF40" i="5"/>
  <c r="B40" i="5" l="1"/>
  <c r="AE40" i="5"/>
  <c r="A40" i="12"/>
  <c r="H40" i="5"/>
  <c r="E40" i="5"/>
  <c r="N40" i="5"/>
  <c r="B40" i="6"/>
  <c r="F40" i="5"/>
  <c r="W40" i="5"/>
  <c r="L39" i="12"/>
  <c r="K39" i="12" s="1"/>
  <c r="AQ38" i="6"/>
  <c r="BG38" i="6"/>
  <c r="AG40" i="5"/>
  <c r="F40" i="6"/>
  <c r="S40" i="5"/>
  <c r="C41" i="5"/>
  <c r="J41" i="5" s="1"/>
  <c r="G40" i="5"/>
  <c r="AZ38" i="6"/>
  <c r="AS38" i="6"/>
  <c r="AV38" i="6"/>
  <c r="AP38" i="6"/>
  <c r="AU38" i="6"/>
  <c r="BD38" i="6"/>
  <c r="AN38" i="6"/>
  <c r="BE38" i="6"/>
  <c r="AJ38" i="6"/>
  <c r="BB38" i="6"/>
  <c r="AG38" i="6"/>
  <c r="AY38" i="6"/>
  <c r="H39" i="6"/>
  <c r="T39" i="5" s="1"/>
  <c r="N39" i="6"/>
  <c r="M39" i="6"/>
  <c r="BG39" i="6" s="1"/>
  <c r="AH38" i="6"/>
  <c r="AR38" i="6"/>
  <c r="AO38" i="6"/>
  <c r="BF38" i="6"/>
  <c r="AK38" i="6"/>
  <c r="BC38" i="6"/>
  <c r="AE38" i="6"/>
  <c r="E40" i="12"/>
  <c r="AM38" i="6"/>
  <c r="AI38" i="6"/>
  <c r="BA38" i="6"/>
  <c r="AF38" i="6"/>
  <c r="AX38" i="6"/>
  <c r="D40" i="6"/>
  <c r="U40" i="5" l="1"/>
  <c r="AN40" i="5" s="1"/>
  <c r="F41" i="5"/>
  <c r="K41" i="5"/>
  <c r="A41" i="12"/>
  <c r="J41" i="12" s="1"/>
  <c r="D41" i="5"/>
  <c r="B41" i="12" s="1"/>
  <c r="AE41" i="5"/>
  <c r="N41" i="5"/>
  <c r="D41" i="6" s="1"/>
  <c r="C42" i="5"/>
  <c r="A42" i="12" s="1"/>
  <c r="E41" i="5"/>
  <c r="AD41" i="5"/>
  <c r="AH39" i="6"/>
  <c r="G41" i="5"/>
  <c r="H41" i="5"/>
  <c r="B41" i="5"/>
  <c r="B41" i="6"/>
  <c r="AM39" i="6"/>
  <c r="AI39" i="6"/>
  <c r="BA39" i="6"/>
  <c r="AF39" i="6"/>
  <c r="AX39" i="6"/>
  <c r="AT39" i="6"/>
  <c r="BD39" i="6"/>
  <c r="AU39" i="6"/>
  <c r="AN39" i="6"/>
  <c r="BE39" i="6"/>
  <c r="AJ39" i="6"/>
  <c r="BB39" i="6"/>
  <c r="AG39" i="6"/>
  <c r="AY39" i="6"/>
  <c r="AR39" i="6"/>
  <c r="AO39" i="6"/>
  <c r="BF39" i="6"/>
  <c r="AK39" i="6"/>
  <c r="BC39" i="6"/>
  <c r="H40" i="6"/>
  <c r="T40" i="5" s="1"/>
  <c r="G40" i="6"/>
  <c r="N40" i="6"/>
  <c r="M40" i="6"/>
  <c r="AT40" i="6" s="1"/>
  <c r="AZ39" i="6"/>
  <c r="AQ39" i="6"/>
  <c r="AE39" i="6"/>
  <c r="AV39" i="6"/>
  <c r="AS39" i="6"/>
  <c r="AP39" i="6"/>
  <c r="F46" i="6"/>
  <c r="E46" i="12"/>
  <c r="AD42" i="5" l="1"/>
  <c r="L41" i="12"/>
  <c r="K41" i="12" s="1"/>
  <c r="N42" i="5"/>
  <c r="D42" i="6" s="1"/>
  <c r="F42" i="5"/>
  <c r="B42" i="6"/>
  <c r="G42" i="5"/>
  <c r="H42" i="5"/>
  <c r="AE42" i="5"/>
  <c r="K42" i="5"/>
  <c r="J42" i="5"/>
  <c r="D42" i="5"/>
  <c r="B42" i="12" s="1"/>
  <c r="B42" i="5"/>
  <c r="C43" i="5" s="1"/>
  <c r="E42" i="5"/>
  <c r="AV40" i="6"/>
  <c r="AQ40" i="6"/>
  <c r="AZ40" i="6"/>
  <c r="AU40" i="6"/>
  <c r="BD40" i="6"/>
  <c r="AN40" i="6"/>
  <c r="BE40" i="6"/>
  <c r="AJ40" i="6"/>
  <c r="BB40" i="6"/>
  <c r="AG40" i="6"/>
  <c r="AY40" i="6"/>
  <c r="J42" i="12"/>
  <c r="L42" i="12"/>
  <c r="AH40" i="6"/>
  <c r="AR40" i="6"/>
  <c r="AO40" i="6"/>
  <c r="BF40" i="6"/>
  <c r="AK40" i="6"/>
  <c r="BC40" i="6"/>
  <c r="AE40" i="6"/>
  <c r="AB40" i="6"/>
  <c r="AS40" i="6"/>
  <c r="AP40" i="6"/>
  <c r="BG40" i="6"/>
  <c r="AD40" i="6"/>
  <c r="AM40" i="6"/>
  <c r="AI40" i="6"/>
  <c r="BA40" i="6"/>
  <c r="AF40" i="6"/>
  <c r="AX40" i="6"/>
  <c r="AC40" i="6"/>
  <c r="H41" i="6"/>
  <c r="T41" i="5" s="1"/>
  <c r="N41" i="6"/>
  <c r="M41" i="6"/>
  <c r="AY41" i="6" s="1"/>
  <c r="K24" i="5"/>
  <c r="AD43" i="5" l="1"/>
  <c r="A43" i="12"/>
  <c r="W43" i="5"/>
  <c r="AE43" i="5"/>
  <c r="F43" i="5"/>
  <c r="B43" i="5"/>
  <c r="C44" i="5" s="1"/>
  <c r="H44" i="5" s="1"/>
  <c r="B43" i="6"/>
  <c r="A43" i="6" s="1"/>
  <c r="H43" i="5"/>
  <c r="E43" i="5"/>
  <c r="N43" i="5"/>
  <c r="D43" i="6" s="1"/>
  <c r="BA43" i="6" s="1"/>
  <c r="I43" i="5"/>
  <c r="G43" i="5"/>
  <c r="J35" i="5" s="1"/>
  <c r="AQ41" i="6"/>
  <c r="AH41" i="6"/>
  <c r="AZ41" i="6"/>
  <c r="AE41" i="6"/>
  <c r="AS41" i="6"/>
  <c r="AV41" i="6"/>
  <c r="AR41" i="6"/>
  <c r="AO41" i="6"/>
  <c r="BF41" i="6"/>
  <c r="AK41" i="6"/>
  <c r="BC41" i="6"/>
  <c r="AP41" i="6"/>
  <c r="BG41" i="6"/>
  <c r="H42" i="6"/>
  <c r="T42" i="5" s="1"/>
  <c r="N42" i="6"/>
  <c r="M42" i="6"/>
  <c r="BC42" i="6" s="1"/>
  <c r="AM41" i="6"/>
  <c r="AI41" i="6"/>
  <c r="BA41" i="6"/>
  <c r="AF41" i="6"/>
  <c r="AX41" i="6"/>
  <c r="AT41" i="6"/>
  <c r="K42" i="12"/>
  <c r="BD41" i="6"/>
  <c r="AU41" i="6"/>
  <c r="AN41" i="6"/>
  <c r="BE41" i="6"/>
  <c r="AJ41" i="6"/>
  <c r="BB41" i="6"/>
  <c r="AG41" i="6"/>
  <c r="B44" i="5" l="1"/>
  <c r="AM43" i="6"/>
  <c r="AQ43" i="6"/>
  <c r="G44" i="5"/>
  <c r="AT43" i="6"/>
  <c r="C45" i="5"/>
  <c r="AD45" i="5" s="1"/>
  <c r="BD43" i="6"/>
  <c r="F44" i="5"/>
  <c r="K43" i="5" s="1"/>
  <c r="BE43" i="6"/>
  <c r="M43" i="6"/>
  <c r="AO43" i="6"/>
  <c r="AX43" i="6"/>
  <c r="B44" i="6"/>
  <c r="AY43" i="6"/>
  <c r="BF43" i="6"/>
  <c r="G43" i="6"/>
  <c r="N43" i="6"/>
  <c r="H43" i="6"/>
  <c r="T43" i="5" s="1"/>
  <c r="AV43" i="6"/>
  <c r="BC43" i="6"/>
  <c r="AU43" i="6"/>
  <c r="I44" i="5"/>
  <c r="E44" i="5"/>
  <c r="BB43" i="6"/>
  <c r="AP43" i="6"/>
  <c r="AZ43" i="6"/>
  <c r="BG43" i="6"/>
  <c r="AS43" i="6"/>
  <c r="AR43" i="6"/>
  <c r="N44" i="5"/>
  <c r="D44" i="6" s="1"/>
  <c r="AY44" i="6" s="1"/>
  <c r="AD44" i="5"/>
  <c r="AE44" i="5"/>
  <c r="AN43" i="6"/>
  <c r="A44" i="12"/>
  <c r="W44" i="5"/>
  <c r="K40" i="5"/>
  <c r="AZ42" i="6"/>
  <c r="AJ43" i="6"/>
  <c r="AE42" i="6"/>
  <c r="AQ42" i="6"/>
  <c r="AV42" i="6"/>
  <c r="AS42" i="6"/>
  <c r="AP42" i="6"/>
  <c r="BG42" i="6"/>
  <c r="J45" i="5"/>
  <c r="AM42" i="6"/>
  <c r="AI42" i="6"/>
  <c r="BA42" i="6"/>
  <c r="AF42" i="6"/>
  <c r="AX42" i="6"/>
  <c r="AT42" i="6"/>
  <c r="AU42" i="6"/>
  <c r="BD42" i="6"/>
  <c r="AN42" i="6"/>
  <c r="BE42" i="6"/>
  <c r="AJ42" i="6"/>
  <c r="BB42" i="6"/>
  <c r="AG42" i="6"/>
  <c r="AY42" i="6"/>
  <c r="AH42" i="6"/>
  <c r="AR42" i="6"/>
  <c r="AO42" i="6"/>
  <c r="BF42" i="6"/>
  <c r="AK42" i="6"/>
  <c r="J25" i="5"/>
  <c r="D25" i="5" s="1"/>
  <c r="B25" i="12" s="1"/>
  <c r="J29" i="5"/>
  <c r="A45" i="12" l="1"/>
  <c r="N45" i="5"/>
  <c r="D45" i="6" s="1"/>
  <c r="H45" i="6" s="1"/>
  <c r="T45" i="5" s="1"/>
  <c r="H45" i="5"/>
  <c r="D45" i="5"/>
  <c r="B45" i="12" s="1"/>
  <c r="AE45" i="5"/>
  <c r="E45" i="5"/>
  <c r="B45" i="5"/>
  <c r="F45" i="5"/>
  <c r="K45" i="5"/>
  <c r="G45" i="5"/>
  <c r="B45" i="6"/>
  <c r="AH43" i="6"/>
  <c r="AF43" i="6"/>
  <c r="AB43" i="6"/>
  <c r="AC43" i="6"/>
  <c r="AE43" i="6"/>
  <c r="AI43" i="6"/>
  <c r="AD43" i="6"/>
  <c r="AG43" i="6"/>
  <c r="AK43" i="6"/>
  <c r="AS44" i="6"/>
  <c r="BC44" i="6"/>
  <c r="AP44" i="6"/>
  <c r="AN44" i="6"/>
  <c r="N44" i="6"/>
  <c r="BE44" i="6"/>
  <c r="AQ44" i="6"/>
  <c r="AM44" i="6"/>
  <c r="BB44" i="6"/>
  <c r="BG44" i="6"/>
  <c r="AT44" i="6"/>
  <c r="AU44" i="6"/>
  <c r="AX44" i="6"/>
  <c r="BA44" i="6"/>
  <c r="AZ44" i="6"/>
  <c r="BF44" i="6"/>
  <c r="M44" i="6"/>
  <c r="AR44" i="6" s="1"/>
  <c r="AV44" i="6"/>
  <c r="AO44" i="6"/>
  <c r="H44" i="6"/>
  <c r="T44" i="5" s="1"/>
  <c r="G44" i="6"/>
  <c r="BD44" i="6"/>
  <c r="J45" i="12"/>
  <c r="L45" i="12"/>
  <c r="A49" i="6"/>
  <c r="N45" i="6" l="1"/>
  <c r="M45" i="6"/>
  <c r="BA45" i="6" s="1"/>
  <c r="C46" i="5"/>
  <c r="AK44" i="6"/>
  <c r="AE44" i="6"/>
  <c r="AF44" i="6"/>
  <c r="AB44" i="6"/>
  <c r="AG44" i="6"/>
  <c r="AC44" i="6"/>
  <c r="AI44" i="6"/>
  <c r="AD44" i="6"/>
  <c r="AH44" i="6"/>
  <c r="AJ44" i="6"/>
  <c r="AS45" i="6"/>
  <c r="BB45" i="6"/>
  <c r="BF45" i="6"/>
  <c r="K45" i="12"/>
  <c r="AY45" i="6"/>
  <c r="AH45" i="6"/>
  <c r="AF45" i="6"/>
  <c r="AQ45" i="6" l="1"/>
  <c r="AP45" i="6"/>
  <c r="AO45" i="6"/>
  <c r="AT45" i="6"/>
  <c r="AK45" i="6"/>
  <c r="AM45" i="6"/>
  <c r="AU45" i="6"/>
  <c r="BC45" i="6"/>
  <c r="AE45" i="6"/>
  <c r="AI45" i="6"/>
  <c r="AV45" i="6"/>
  <c r="BG45" i="6"/>
  <c r="BD45" i="6"/>
  <c r="AZ45" i="6"/>
  <c r="AJ45" i="6"/>
  <c r="AG45" i="6"/>
  <c r="AX45" i="6"/>
  <c r="AN45" i="6"/>
  <c r="BE45" i="6"/>
  <c r="AR45" i="6"/>
  <c r="N46" i="5"/>
  <c r="D46" i="6" s="1"/>
  <c r="AE46" i="5"/>
  <c r="G46" i="5"/>
  <c r="E46" i="5"/>
  <c r="F46" i="5"/>
  <c r="K44" i="5" s="1"/>
  <c r="AD46" i="5"/>
  <c r="B46" i="5"/>
  <c r="A46" i="12"/>
  <c r="H46" i="5"/>
  <c r="C47" i="5"/>
  <c r="W46" i="5"/>
  <c r="B46" i="6"/>
  <c r="N47" i="5" l="1"/>
  <c r="D47" i="6" s="1"/>
  <c r="K47" i="5"/>
  <c r="AD47" i="5"/>
  <c r="A47" i="12"/>
  <c r="B47" i="6"/>
  <c r="J47" i="5"/>
  <c r="F47" i="5"/>
  <c r="H47" i="5"/>
  <c r="E47" i="5"/>
  <c r="AE47" i="5"/>
  <c r="G47" i="5"/>
  <c r="B47" i="5"/>
  <c r="D47" i="5"/>
  <c r="B47" i="12" s="1"/>
  <c r="BA46" i="6"/>
  <c r="AS46" i="6"/>
  <c r="BF46" i="6"/>
  <c r="AT46" i="6"/>
  <c r="BG46" i="6"/>
  <c r="BE46" i="6"/>
  <c r="AQ46" i="6"/>
  <c r="AZ46" i="6"/>
  <c r="AP46" i="6"/>
  <c r="BC46" i="6"/>
  <c r="AO46" i="6"/>
  <c r="G46" i="6"/>
  <c r="AM46" i="6"/>
  <c r="BB46" i="6"/>
  <c r="AX46" i="6"/>
  <c r="AY46" i="6"/>
  <c r="H46" i="6"/>
  <c r="T46" i="5" s="1"/>
  <c r="BD46" i="6"/>
  <c r="AR46" i="6"/>
  <c r="N46" i="6"/>
  <c r="AN46" i="6"/>
  <c r="AU46" i="6"/>
  <c r="M46" i="6"/>
  <c r="AV46" i="6" s="1"/>
  <c r="AH46" i="6" l="1"/>
  <c r="AI46" i="6"/>
  <c r="AE46" i="6"/>
  <c r="AJ46" i="6"/>
  <c r="AG46" i="6"/>
  <c r="AK46" i="6"/>
  <c r="AC46" i="6"/>
  <c r="AF46" i="6"/>
  <c r="AB46" i="6"/>
  <c r="AD46" i="6"/>
  <c r="L47" i="12"/>
  <c r="J47" i="12"/>
  <c r="M47" i="6"/>
  <c r="AR47" i="6" s="1"/>
  <c r="H47" i="6"/>
  <c r="T47" i="5" s="1"/>
  <c r="N47" i="6"/>
  <c r="K22" i="5"/>
  <c r="AY47" i="6" l="1"/>
  <c r="BE47" i="6"/>
  <c r="AM47" i="6"/>
  <c r="AP47" i="6"/>
  <c r="BB47" i="6"/>
  <c r="BD47" i="6"/>
  <c r="AX47" i="6"/>
  <c r="AN47" i="6"/>
  <c r="BG47" i="6"/>
  <c r="AS47" i="6"/>
  <c r="BA47" i="6"/>
  <c r="AO47" i="6"/>
  <c r="K47" i="12"/>
  <c r="AJ47" i="6"/>
  <c r="AG47" i="6"/>
  <c r="AQ47" i="6"/>
  <c r="AT47" i="6"/>
  <c r="AZ47" i="6"/>
  <c r="AV47" i="6"/>
  <c r="AE47" i="6"/>
  <c r="AK47" i="6"/>
  <c r="AU47" i="6"/>
  <c r="AF47" i="6"/>
  <c r="BF47" i="6"/>
  <c r="BC47" i="6"/>
  <c r="C48" i="5"/>
  <c r="AI47" i="6"/>
  <c r="AH47" i="6"/>
  <c r="C16" i="9"/>
  <c r="C16" i="10"/>
  <c r="A1" i="9"/>
  <c r="C1" i="9"/>
  <c r="C17" i="10"/>
  <c r="C17" i="9"/>
  <c r="C1" i="10"/>
  <c r="A1" i="10"/>
  <c r="AO12" i="13"/>
  <c r="AL12" i="13"/>
  <c r="I48" i="5" l="1"/>
  <c r="B48" i="5"/>
  <c r="G48" i="5"/>
  <c r="N48" i="5"/>
  <c r="D48" i="6" s="1"/>
  <c r="H48" i="5"/>
  <c r="F48" i="5"/>
  <c r="B48" i="6"/>
  <c r="A48" i="6" s="1"/>
  <c r="AE48" i="5"/>
  <c r="E48" i="5"/>
  <c r="W48" i="5"/>
  <c r="AD48" i="5"/>
  <c r="A48" i="12"/>
  <c r="C49" i="5"/>
  <c r="C50" i="5" s="1"/>
  <c r="AN12" i="13"/>
  <c r="AM12" i="13"/>
  <c r="AK12" i="13"/>
  <c r="AD50" i="5" l="1"/>
  <c r="D50" i="5"/>
  <c r="B50" i="12" s="1"/>
  <c r="AE50" i="5"/>
  <c r="K50" i="5"/>
  <c r="A50" i="12"/>
  <c r="C51" i="5"/>
  <c r="B50" i="6"/>
  <c r="J50" i="5"/>
  <c r="N50" i="5"/>
  <c r="BD48" i="6"/>
  <c r="BA48" i="6"/>
  <c r="AT48" i="6"/>
  <c r="H48" i="6"/>
  <c r="T48" i="5" s="1"/>
  <c r="AS48" i="6"/>
  <c r="AP48" i="6"/>
  <c r="AY48" i="6"/>
  <c r="AN48" i="6"/>
  <c r="AO48" i="6"/>
  <c r="G48" i="6"/>
  <c r="BE48" i="6"/>
  <c r="AX48" i="6"/>
  <c r="BC48" i="6"/>
  <c r="M48" i="6"/>
  <c r="AZ48" i="6"/>
  <c r="AR48" i="6"/>
  <c r="BF48" i="6"/>
  <c r="AQ48" i="6"/>
  <c r="BG48" i="6"/>
  <c r="AU48" i="6"/>
  <c r="BB48" i="6"/>
  <c r="AM48" i="6"/>
  <c r="AV48" i="6"/>
  <c r="N48" i="6"/>
  <c r="K46" i="5"/>
  <c r="J49" i="5"/>
  <c r="F49" i="5"/>
  <c r="F50" i="5" s="1"/>
  <c r="AE49" i="5"/>
  <c r="AD49" i="5"/>
  <c r="H49" i="5"/>
  <c r="H50" i="5" s="1"/>
  <c r="B49" i="5"/>
  <c r="B50" i="5" s="1"/>
  <c r="A49" i="12"/>
  <c r="E49" i="5"/>
  <c r="E50" i="5" s="1"/>
  <c r="G49" i="5"/>
  <c r="N49" i="5"/>
  <c r="D49" i="6" s="1"/>
  <c r="B49" i="6"/>
  <c r="D49" i="5"/>
  <c r="B49" i="12" s="1"/>
  <c r="K49" i="5"/>
  <c r="A5" i="5"/>
  <c r="G50" i="5" l="1"/>
  <c r="G51" i="5" s="1"/>
  <c r="D50" i="6"/>
  <c r="J51" i="5"/>
  <c r="F51" i="5"/>
  <c r="J34" i="5" s="1"/>
  <c r="B51" i="5"/>
  <c r="A51" i="12"/>
  <c r="AE51" i="5"/>
  <c r="N51" i="5"/>
  <c r="E51" i="5"/>
  <c r="J16" i="5" s="1"/>
  <c r="K51" i="5"/>
  <c r="B51" i="6"/>
  <c r="AD51" i="5"/>
  <c r="E47" i="8" s="1"/>
  <c r="E48" i="8" s="1"/>
  <c r="H51" i="5"/>
  <c r="D51" i="5"/>
  <c r="B51" i="12" s="1"/>
  <c r="L50" i="12"/>
  <c r="J50" i="12"/>
  <c r="AI48" i="6"/>
  <c r="AF48" i="6"/>
  <c r="AG48" i="6"/>
  <c r="AK48" i="6"/>
  <c r="AE48" i="6"/>
  <c r="AH48" i="6"/>
  <c r="AC48" i="6"/>
  <c r="AB48" i="6"/>
  <c r="AJ48" i="6"/>
  <c r="AD48" i="6"/>
  <c r="K37" i="5"/>
  <c r="J44" i="5"/>
  <c r="D44" i="5" s="1"/>
  <c r="B44" i="12" s="1"/>
  <c r="J49" i="12"/>
  <c r="L49" i="12"/>
  <c r="H49" i="6"/>
  <c r="T49" i="5" s="1"/>
  <c r="M49" i="6"/>
  <c r="BB49" i="6" s="1"/>
  <c r="N49" i="6"/>
  <c r="K34" i="5"/>
  <c r="J43" i="5" l="1"/>
  <c r="D43" i="5" s="1"/>
  <c r="B43" i="12" s="1"/>
  <c r="K48" i="5"/>
  <c r="J24" i="5"/>
  <c r="D24" i="5" s="1"/>
  <c r="B24" i="12" s="1"/>
  <c r="J17" i="5"/>
  <c r="D17" i="5" s="1"/>
  <c r="B17" i="12" s="1"/>
  <c r="J22" i="5"/>
  <c r="D22" i="5" s="1"/>
  <c r="B22" i="12" s="1"/>
  <c r="J19" i="5"/>
  <c r="D19" i="5" s="1"/>
  <c r="B19" i="12" s="1"/>
  <c r="E35" i="8"/>
  <c r="E36" i="8" s="1"/>
  <c r="I35" i="8" s="1"/>
  <c r="E29" i="8"/>
  <c r="E30" i="8" s="1"/>
  <c r="L29" i="8" s="1"/>
  <c r="O29" i="8" s="1"/>
  <c r="K35" i="5"/>
  <c r="D35" i="5" s="1"/>
  <c r="B35" i="12" s="1"/>
  <c r="K29" i="5"/>
  <c r="D29" i="5" s="1"/>
  <c r="B29" i="12" s="1"/>
  <c r="J46" i="5"/>
  <c r="D46" i="5" s="1"/>
  <c r="B46" i="12" s="1"/>
  <c r="J48" i="5"/>
  <c r="E41" i="8"/>
  <c r="E42" i="8" s="1"/>
  <c r="I41" i="8" s="1"/>
  <c r="E1" i="8"/>
  <c r="E2" i="8" s="1"/>
  <c r="P1" i="8" s="1"/>
  <c r="E20" i="8"/>
  <c r="E21" i="8" s="1"/>
  <c r="L20" i="8" s="1"/>
  <c r="P20" i="8" s="1"/>
  <c r="J37" i="5"/>
  <c r="D37" i="5" s="1"/>
  <c r="J40" i="5"/>
  <c r="D40" i="5" s="1"/>
  <c r="B40" i="12" s="1"/>
  <c r="E32" i="8"/>
  <c r="E33" i="8" s="1"/>
  <c r="L32" i="8" s="1"/>
  <c r="O32" i="8" s="1"/>
  <c r="E26" i="8"/>
  <c r="E27" i="8" s="1"/>
  <c r="I26" i="8" s="1"/>
  <c r="E23" i="8"/>
  <c r="E24" i="8" s="1"/>
  <c r="I23" i="8" s="1"/>
  <c r="E17" i="8"/>
  <c r="E18" i="8" s="1"/>
  <c r="I17" i="8" s="1"/>
  <c r="K16" i="5"/>
  <c r="D16" i="5" s="1"/>
  <c r="B16" i="12" s="1"/>
  <c r="A12" i="13"/>
  <c r="B12" i="13" s="1"/>
  <c r="AJ12" i="13" s="1"/>
  <c r="B12" i="11"/>
  <c r="C12" i="13" s="1"/>
  <c r="E44" i="8"/>
  <c r="E45" i="8" s="1"/>
  <c r="L44" i="8" s="1"/>
  <c r="O44" i="8" s="1"/>
  <c r="D51" i="6"/>
  <c r="E38" i="8"/>
  <c r="E39" i="8" s="1"/>
  <c r="I38" i="8" s="1"/>
  <c r="K50" i="12"/>
  <c r="E14" i="8"/>
  <c r="E15" i="8" s="1"/>
  <c r="L14" i="8" s="1"/>
  <c r="P14" i="8" s="1"/>
  <c r="J51" i="12"/>
  <c r="L51" i="12"/>
  <c r="H50" i="6"/>
  <c r="T50" i="5" s="1"/>
  <c r="M50" i="6"/>
  <c r="AT50" i="6" s="1"/>
  <c r="N50" i="6"/>
  <c r="D34" i="5"/>
  <c r="B34" i="12" s="1"/>
  <c r="L47" i="8"/>
  <c r="I47" i="8"/>
  <c r="BG49" i="6"/>
  <c r="BF49" i="6"/>
  <c r="AT49" i="6"/>
  <c r="BA49" i="6"/>
  <c r="AM49" i="6"/>
  <c r="BE49" i="6"/>
  <c r="AY49" i="6"/>
  <c r="AV49" i="6"/>
  <c r="AZ49" i="6"/>
  <c r="AQ49" i="6"/>
  <c r="BD49" i="6"/>
  <c r="BC49" i="6"/>
  <c r="AP49" i="6"/>
  <c r="AO49" i="6"/>
  <c r="AS49" i="6"/>
  <c r="AK49" i="6"/>
  <c r="AX49" i="6"/>
  <c r="AN49" i="6"/>
  <c r="AF49" i="6"/>
  <c r="AR49" i="6"/>
  <c r="AJ49" i="6"/>
  <c r="AU49" i="6"/>
  <c r="K49" i="12"/>
  <c r="AH49" i="6"/>
  <c r="AI49" i="6"/>
  <c r="AE49" i="6"/>
  <c r="I14" i="8"/>
  <c r="H1" i="8"/>
  <c r="M1" i="8"/>
  <c r="I20" i="8"/>
  <c r="K12" i="11"/>
  <c r="J12" i="13" s="1"/>
  <c r="AG49" i="6"/>
  <c r="I32" i="8"/>
  <c r="L17" i="8"/>
  <c r="D48" i="5" l="1"/>
  <c r="B48" i="12" s="1"/>
  <c r="L23" i="8"/>
  <c r="O23" i="8" s="1"/>
  <c r="O12" i="11"/>
  <c r="I29" i="8"/>
  <c r="L41" i="8"/>
  <c r="O41" i="8" s="1"/>
  <c r="L35" i="8"/>
  <c r="L26" i="8"/>
  <c r="P26" i="8" s="1"/>
  <c r="I1" i="8"/>
  <c r="R1" i="8"/>
  <c r="F2" i="8" s="1"/>
  <c r="O1" i="8"/>
  <c r="N1" i="8"/>
  <c r="L1" i="8"/>
  <c r="Q1" i="8" s="1"/>
  <c r="G12" i="11"/>
  <c r="F12" i="13" s="1"/>
  <c r="AB12" i="11"/>
  <c r="N12" i="11" s="1"/>
  <c r="AA12" i="11"/>
  <c r="R12" i="13" s="1"/>
  <c r="BA50" i="6"/>
  <c r="I44" i="8"/>
  <c r="L38" i="8"/>
  <c r="K51" i="12"/>
  <c r="AI50" i="6"/>
  <c r="AS50" i="6"/>
  <c r="AZ50" i="6"/>
  <c r="AG50" i="6"/>
  <c r="AY50" i="6"/>
  <c r="AN50" i="6"/>
  <c r="BE50" i="6"/>
  <c r="AF50" i="6"/>
  <c r="AX50" i="6"/>
  <c r="AM50" i="6"/>
  <c r="BD50" i="6"/>
  <c r="AK50" i="6"/>
  <c r="BC50" i="6"/>
  <c r="AR50" i="6"/>
  <c r="AH50" i="6"/>
  <c r="AJ50" i="6"/>
  <c r="BB50" i="6"/>
  <c r="AQ50" i="6"/>
  <c r="AP50" i="6"/>
  <c r="BG50" i="6"/>
  <c r="H51" i="6"/>
  <c r="T51" i="5" s="1"/>
  <c r="M51" i="6"/>
  <c r="M12" i="6" s="1"/>
  <c r="N51" i="6"/>
  <c r="AE50" i="6"/>
  <c r="AV50" i="6"/>
  <c r="AO50" i="6"/>
  <c r="BF50" i="6"/>
  <c r="AU50" i="6"/>
  <c r="M44" i="8"/>
  <c r="P44" i="8"/>
  <c r="N44" i="8"/>
  <c r="R49" i="8"/>
  <c r="P47" i="8"/>
  <c r="O47" i="8"/>
  <c r="R46" i="8"/>
  <c r="N47" i="8"/>
  <c r="M47" i="8"/>
  <c r="B14" i="13"/>
  <c r="O14" i="8"/>
  <c r="D15" i="5"/>
  <c r="N26" i="8"/>
  <c r="P32" i="8"/>
  <c r="P29" i="8"/>
  <c r="B37" i="12"/>
  <c r="O17" i="8"/>
  <c r="R19" i="8"/>
  <c r="P23" i="8"/>
  <c r="R25" i="8"/>
  <c r="M41" i="8"/>
  <c r="R28" i="8"/>
  <c r="K12" i="13"/>
  <c r="O12" i="13"/>
  <c r="U12" i="13"/>
  <c r="S12" i="13"/>
  <c r="M12" i="13"/>
  <c r="O20" i="8"/>
  <c r="R22" i="8"/>
  <c r="R16" i="8"/>
  <c r="N17" i="8"/>
  <c r="P17" i="8"/>
  <c r="N23" i="8"/>
  <c r="N35" i="8"/>
  <c r="P35" i="8"/>
  <c r="R37" i="8"/>
  <c r="O35" i="8"/>
  <c r="O26" i="8"/>
  <c r="R34" i="8"/>
  <c r="N32" i="8"/>
  <c r="N20" i="8"/>
  <c r="G1" i="8"/>
  <c r="I2" i="8" s="1"/>
  <c r="N14" i="8"/>
  <c r="R31" i="8"/>
  <c r="M29" i="8"/>
  <c r="C12" i="11"/>
  <c r="W12" i="11"/>
  <c r="L12" i="13"/>
  <c r="N41" i="8"/>
  <c r="R43" i="8"/>
  <c r="N29" i="8"/>
  <c r="M35" i="8" l="1"/>
  <c r="Q35" i="8" s="1"/>
  <c r="E37" i="8" s="1"/>
  <c r="M14" i="8"/>
  <c r="Q14" i="8" s="1"/>
  <c r="M23" i="8"/>
  <c r="N38" i="8"/>
  <c r="M32" i="8"/>
  <c r="P41" i="8"/>
  <c r="M17" i="8"/>
  <c r="R3" i="8"/>
  <c r="G2" i="8"/>
  <c r="F1" i="8"/>
  <c r="Z12" i="11"/>
  <c r="T12" i="13"/>
  <c r="M38" i="8"/>
  <c r="M20" i="8"/>
  <c r="Q20" i="8" s="1"/>
  <c r="E22" i="8" s="1"/>
  <c r="M26" i="8"/>
  <c r="AR51" i="6"/>
  <c r="AM51" i="6"/>
  <c r="P38" i="8"/>
  <c r="R40" i="8"/>
  <c r="O38" i="8"/>
  <c r="AE51" i="6"/>
  <c r="AE15" i="6" s="1"/>
  <c r="T15" i="6" s="1"/>
  <c r="AV51" i="6"/>
  <c r="AS51" i="6"/>
  <c r="AO51" i="6"/>
  <c r="BF51" i="6"/>
  <c r="AZ51" i="6"/>
  <c r="AK51" i="6"/>
  <c r="AK15" i="6" s="1"/>
  <c r="Z15" i="6" s="1"/>
  <c r="BC51" i="6"/>
  <c r="AP51" i="6"/>
  <c r="BG51" i="6"/>
  <c r="AI51" i="6"/>
  <c r="AI15" i="6" s="1"/>
  <c r="X15" i="6" s="1"/>
  <c r="BA51" i="6"/>
  <c r="AU51" i="6"/>
  <c r="AF51" i="6"/>
  <c r="AF15" i="6" s="1"/>
  <c r="U15" i="6" s="1"/>
  <c r="AX51" i="6"/>
  <c r="AH51" i="6"/>
  <c r="AH15" i="6" s="1"/>
  <c r="W15" i="6" s="1"/>
  <c r="AT51" i="6"/>
  <c r="AN51" i="6"/>
  <c r="BE51" i="6"/>
  <c r="BD51" i="6"/>
  <c r="AJ51" i="6"/>
  <c r="AJ15" i="6" s="1"/>
  <c r="Y15" i="6" s="1"/>
  <c r="BB51" i="6"/>
  <c r="AQ51" i="6"/>
  <c r="AG51" i="6"/>
  <c r="AG15" i="6" s="1"/>
  <c r="V15" i="6" s="1"/>
  <c r="AY51" i="6"/>
  <c r="Q44" i="8"/>
  <c r="E46" i="8" s="1"/>
  <c r="Q47" i="8"/>
  <c r="E49" i="8" s="1"/>
  <c r="Q26" i="8"/>
  <c r="E28" i="8" s="1"/>
  <c r="B14" i="8"/>
  <c r="E16" i="8"/>
  <c r="C14" i="8"/>
  <c r="Q32" i="8"/>
  <c r="Z1" i="8"/>
  <c r="D3" i="8"/>
  <c r="U3" i="8"/>
  <c r="AC1" i="8"/>
  <c r="X1" i="8"/>
  <c r="AA3" i="8"/>
  <c r="AC3" i="8"/>
  <c r="V1" i="8"/>
  <c r="W1" i="8"/>
  <c r="AB1" i="8"/>
  <c r="Z3" i="8"/>
  <c r="AD1" i="8"/>
  <c r="AB3" i="8"/>
  <c r="AE1" i="8"/>
  <c r="B1" i="8"/>
  <c r="T1" i="8"/>
  <c r="W3" i="8"/>
  <c r="X3" i="8"/>
  <c r="Y1" i="8"/>
  <c r="AA1" i="8"/>
  <c r="AE3" i="8"/>
  <c r="AD3" i="8"/>
  <c r="D1" i="8"/>
  <c r="V3" i="8"/>
  <c r="E3" i="8"/>
  <c r="U1" i="8"/>
  <c r="Y3" i="8"/>
  <c r="C1" i="8"/>
  <c r="T3" i="8"/>
  <c r="Q17" i="8"/>
  <c r="V12" i="13"/>
  <c r="D12" i="13"/>
  <c r="Q29" i="8"/>
  <c r="E31" i="8" s="1"/>
  <c r="Q23" i="8"/>
  <c r="N12" i="13"/>
  <c r="P12" i="13"/>
  <c r="Q41" i="8"/>
  <c r="E22" i="12"/>
  <c r="F22" i="6"/>
  <c r="N23" i="6" s="1"/>
  <c r="Q38" i="8" l="1"/>
  <c r="E40" i="8" s="1"/>
  <c r="X40" i="8" s="1"/>
  <c r="AD46" i="8"/>
  <c r="D46" i="8"/>
  <c r="AE49" i="8"/>
  <c r="X49" i="8"/>
  <c r="D49" i="8"/>
  <c r="AB49" i="8"/>
  <c r="AA46" i="8"/>
  <c r="T49" i="8"/>
  <c r="AE46" i="8"/>
  <c r="AB46" i="8"/>
  <c r="AC46" i="8"/>
  <c r="AC49" i="8"/>
  <c r="T46" i="8"/>
  <c r="U46" i="8"/>
  <c r="U49" i="8"/>
  <c r="V49" i="8"/>
  <c r="X46" i="8"/>
  <c r="Y46" i="8"/>
  <c r="Y49" i="8"/>
  <c r="Z49" i="8"/>
  <c r="AD49" i="8"/>
  <c r="Z46" i="8"/>
  <c r="AA49" i="8"/>
  <c r="AB40" i="8"/>
  <c r="D40" i="8"/>
  <c r="AE40" i="8"/>
  <c r="U40" i="8"/>
  <c r="AC40" i="8"/>
  <c r="AD40" i="8"/>
  <c r="Z40" i="8"/>
  <c r="AA40" i="8"/>
  <c r="T40" i="8"/>
  <c r="E43" i="8"/>
  <c r="AE43" i="8" s="1"/>
  <c r="C18" i="9"/>
  <c r="C18" i="10"/>
  <c r="E25" i="8"/>
  <c r="U43" i="8" l="1"/>
  <c r="X43" i="8"/>
  <c r="T43" i="8"/>
  <c r="AD43" i="8"/>
  <c r="D43" i="8"/>
  <c r="AC43" i="8"/>
  <c r="Y43" i="8"/>
  <c r="Z43" i="8"/>
  <c r="AB43" i="8"/>
  <c r="AA43" i="8"/>
  <c r="I22" i="5"/>
  <c r="G22" i="6" l="1"/>
  <c r="Y25" i="8" l="1"/>
  <c r="X25" i="8"/>
  <c r="V25" i="8"/>
  <c r="W25" i="8"/>
  <c r="AC25" i="8"/>
  <c r="AE25" i="8"/>
  <c r="AA25" i="8"/>
  <c r="AD25" i="8"/>
  <c r="Z25" i="8"/>
  <c r="AB25" i="8"/>
  <c r="AB22" i="8"/>
  <c r="AC22" i="8"/>
  <c r="V22" i="8"/>
  <c r="Y22" i="8"/>
  <c r="AE22" i="8"/>
  <c r="AD22" i="8"/>
  <c r="Z22" i="8"/>
  <c r="AA22" i="8"/>
  <c r="X22" i="8"/>
  <c r="W22" i="8"/>
  <c r="U37" i="8"/>
  <c r="AC37" i="8"/>
  <c r="AE37" i="8"/>
  <c r="AB37" i="8"/>
  <c r="AD37" i="8"/>
  <c r="Z37" i="8"/>
  <c r="T37" i="8"/>
  <c r="D37" i="8"/>
  <c r="AA37" i="8"/>
  <c r="T28" i="8"/>
  <c r="AB28" i="8"/>
  <c r="D28" i="8"/>
  <c r="AD28" i="8"/>
  <c r="Z28" i="8"/>
  <c r="AA28" i="8"/>
  <c r="Y28" i="8"/>
  <c r="U28" i="8"/>
  <c r="AE28" i="8"/>
  <c r="AC28" i="8"/>
  <c r="X31" i="8" l="1"/>
  <c r="Z31" i="8"/>
  <c r="AA31" i="8"/>
  <c r="U31" i="8"/>
  <c r="Y31" i="8"/>
  <c r="AD31" i="8"/>
  <c r="AB31" i="8"/>
  <c r="D31" i="8"/>
  <c r="AC31" i="8"/>
  <c r="AE31" i="8"/>
  <c r="W31" i="8"/>
  <c r="T31" i="8"/>
  <c r="AO14" i="13"/>
  <c r="AL14" i="13"/>
  <c r="AK14" i="13" l="1"/>
  <c r="AN14" i="13"/>
  <c r="AM14" i="13" l="1"/>
  <c r="AJ14" i="13"/>
  <c r="X43" i="5" l="1"/>
  <c r="D25" i="8" l="1"/>
  <c r="T25" i="8"/>
  <c r="AM43" i="5"/>
  <c r="Z43" i="5"/>
  <c r="I43" i="12"/>
  <c r="L43" i="5"/>
  <c r="X28" i="8"/>
  <c r="AB43" i="5" l="1"/>
  <c r="M43" i="12"/>
  <c r="AO43" i="12"/>
  <c r="C43" i="12"/>
  <c r="J43" i="12"/>
  <c r="O43" i="12"/>
  <c r="L43" i="12" s="1"/>
  <c r="C43" i="6"/>
  <c r="O43" i="5"/>
  <c r="N43" i="12" l="1"/>
  <c r="K43" i="12"/>
  <c r="Y43" i="12"/>
  <c r="E43" i="6"/>
  <c r="D43" i="12"/>
  <c r="X43" i="12" l="1"/>
  <c r="W43" i="12"/>
  <c r="U43" i="12" l="1"/>
  <c r="V43" i="12"/>
  <c r="T43" i="12"/>
  <c r="AA43" i="5" l="1"/>
  <c r="I46" i="5" l="1"/>
  <c r="U22" i="8" l="1"/>
  <c r="Y37" i="8" l="1"/>
  <c r="X37" i="8"/>
  <c r="Y40" i="8" l="1"/>
  <c r="E34" i="8" l="1"/>
  <c r="AD34" i="8" s="1"/>
  <c r="AF46" i="5"/>
  <c r="AF44" i="5"/>
  <c r="AF34" i="5"/>
  <c r="AF35" i="5"/>
  <c r="AF48" i="5"/>
  <c r="AF43" i="5"/>
  <c r="Y34" i="8" l="1"/>
  <c r="AC34" i="8"/>
  <c r="S44" i="5"/>
  <c r="AG44" i="5"/>
  <c r="AG35" i="5"/>
  <c r="U35" i="5" s="1"/>
  <c r="AN35" i="5" s="1"/>
  <c r="S35" i="5"/>
  <c r="AG46" i="5"/>
  <c r="U46" i="5" s="1"/>
  <c r="AN46" i="5" s="1"/>
  <c r="S46" i="5"/>
  <c r="AG34" i="5"/>
  <c r="U34" i="5" s="1"/>
  <c r="AN34" i="5" s="1"/>
  <c r="S34" i="5"/>
  <c r="AG48" i="5"/>
  <c r="U48" i="5" s="1"/>
  <c r="AN48" i="5" s="1"/>
  <c r="S48" i="5"/>
  <c r="S43" i="5"/>
  <c r="AG43" i="5"/>
  <c r="U43" i="5" s="1"/>
  <c r="AN43" i="5" s="1"/>
  <c r="T34" i="8"/>
  <c r="U34" i="8"/>
  <c r="V34" i="8"/>
  <c r="AB34" i="8"/>
  <c r="D34" i="8"/>
  <c r="AA34" i="8"/>
  <c r="X34" i="8"/>
  <c r="Z34" i="8"/>
  <c r="AE34" i="8"/>
  <c r="W40" i="8"/>
  <c r="R38" i="8"/>
  <c r="V40" i="8"/>
  <c r="AC43" i="5" l="1"/>
  <c r="W38" i="8"/>
  <c r="V38" i="8"/>
  <c r="U38" i="8"/>
  <c r="D38" i="8"/>
  <c r="G39" i="8"/>
  <c r="Z38" i="8"/>
  <c r="AD38" i="8"/>
  <c r="G38" i="8"/>
  <c r="I39" i="8" s="1"/>
  <c r="X38" i="8"/>
  <c r="T38" i="8"/>
  <c r="AC38" i="8"/>
  <c r="F39" i="8"/>
  <c r="Y38" i="8"/>
  <c r="F38" i="8"/>
  <c r="AA38" i="8"/>
  <c r="AB38" i="8"/>
  <c r="AE38" i="8"/>
  <c r="C38" i="8" l="1"/>
  <c r="H38" i="8"/>
  <c r="B38" i="8" l="1"/>
  <c r="V37" i="8" l="1"/>
  <c r="AF19" i="5"/>
  <c r="AF18" i="5"/>
  <c r="AF49" i="5"/>
  <c r="AF25" i="5"/>
  <c r="AF42" i="5"/>
  <c r="AF24" i="5"/>
  <c r="AF41" i="5"/>
  <c r="AF50" i="5"/>
  <c r="AF29" i="5"/>
  <c r="AF21" i="5"/>
  <c r="AF17" i="5"/>
  <c r="AF51" i="5"/>
  <c r="AF14" i="5"/>
  <c r="AF16" i="5"/>
  <c r="AF27" i="5"/>
  <c r="AF30" i="5"/>
  <c r="AF33" i="5"/>
  <c r="AF22" i="5"/>
  <c r="AF36" i="5"/>
  <c r="AF23" i="5"/>
  <c r="AF39" i="5"/>
  <c r="AF20" i="5"/>
  <c r="AF38" i="5"/>
  <c r="AF45" i="5"/>
  <c r="AF32" i="5"/>
  <c r="AF26" i="5"/>
  <c r="AF28" i="5"/>
  <c r="AF47" i="5"/>
  <c r="AF31" i="5"/>
  <c r="R31" i="5" l="1"/>
  <c r="S31" i="5"/>
  <c r="G31" i="6" s="1"/>
  <c r="AG31" i="5"/>
  <c r="U31" i="5" s="1"/>
  <c r="S47" i="5"/>
  <c r="G47" i="6" s="1"/>
  <c r="AG47" i="5"/>
  <c r="U47" i="5" s="1"/>
  <c r="R47" i="5"/>
  <c r="AG28" i="5"/>
  <c r="U28" i="5" s="1"/>
  <c r="S28" i="5"/>
  <c r="G28" i="6" s="1"/>
  <c r="R28" i="5"/>
  <c r="AG26" i="5"/>
  <c r="U26" i="5" s="1"/>
  <c r="S26" i="5"/>
  <c r="G26" i="6" s="1"/>
  <c r="R26" i="5"/>
  <c r="S32" i="5"/>
  <c r="G32" i="6" s="1"/>
  <c r="AG32" i="5"/>
  <c r="U32" i="5" s="1"/>
  <c r="R32" i="5"/>
  <c r="AG45" i="5"/>
  <c r="U45" i="5" s="1"/>
  <c r="S45" i="5"/>
  <c r="G45" i="6" s="1"/>
  <c r="R45" i="5"/>
  <c r="R38" i="5"/>
  <c r="AG38" i="5"/>
  <c r="U38" i="5" s="1"/>
  <c r="S38" i="5"/>
  <c r="G38" i="6" s="1"/>
  <c r="S20" i="5"/>
  <c r="G20" i="6" s="1"/>
  <c r="AG20" i="5"/>
  <c r="U20" i="5" s="1"/>
  <c r="R20" i="5"/>
  <c r="S39" i="5"/>
  <c r="G39" i="6" s="1"/>
  <c r="R39" i="5"/>
  <c r="AG39" i="5"/>
  <c r="U39" i="5" s="1"/>
  <c r="AG23" i="5"/>
  <c r="U23" i="5" s="1"/>
  <c r="S23" i="5"/>
  <c r="G23" i="6" s="1"/>
  <c r="R23" i="5"/>
  <c r="AG36" i="5"/>
  <c r="U36" i="5" s="1"/>
  <c r="R36" i="5"/>
  <c r="S36" i="5"/>
  <c r="G36" i="6" s="1"/>
  <c r="AG22" i="5"/>
  <c r="S22" i="5"/>
  <c r="AG33" i="5"/>
  <c r="U33" i="5" s="1"/>
  <c r="S33" i="5"/>
  <c r="G33" i="6" s="1"/>
  <c r="R33" i="5"/>
  <c r="AG30" i="5"/>
  <c r="U30" i="5" s="1"/>
  <c r="R30" i="5"/>
  <c r="S30" i="5"/>
  <c r="G30" i="6" s="1"/>
  <c r="R27" i="5"/>
  <c r="S27" i="5"/>
  <c r="G27" i="6" s="1"/>
  <c r="AG27" i="5"/>
  <c r="U27" i="5" s="1"/>
  <c r="AG16" i="5"/>
  <c r="S14" i="5"/>
  <c r="G14" i="6" s="1"/>
  <c r="AG14" i="5"/>
  <c r="R14" i="5"/>
  <c r="S51" i="5"/>
  <c r="G51" i="6" s="1"/>
  <c r="R51" i="5"/>
  <c r="AG51" i="5"/>
  <c r="U51" i="5" s="1"/>
  <c r="S17" i="5"/>
  <c r="AG17" i="5"/>
  <c r="R21" i="5"/>
  <c r="S21" i="5"/>
  <c r="G21" i="6" s="1"/>
  <c r="AG21" i="5"/>
  <c r="U21" i="5" s="1"/>
  <c r="AG29" i="5"/>
  <c r="S29" i="5"/>
  <c r="S50" i="5"/>
  <c r="G50" i="6" s="1"/>
  <c r="R50" i="5"/>
  <c r="AG50" i="5"/>
  <c r="U50" i="5" s="1"/>
  <c r="R41" i="5"/>
  <c r="S41" i="5"/>
  <c r="G41" i="6" s="1"/>
  <c r="AG41" i="5"/>
  <c r="U41" i="5" s="1"/>
  <c r="AG24" i="5"/>
  <c r="U24" i="5" s="1"/>
  <c r="AN24" i="5" s="1"/>
  <c r="S42" i="5"/>
  <c r="G42" i="6" s="1"/>
  <c r="R42" i="5"/>
  <c r="AG42" i="5"/>
  <c r="U42" i="5" s="1"/>
  <c r="AG25" i="5"/>
  <c r="U25" i="5" s="1"/>
  <c r="AN25" i="5" s="1"/>
  <c r="S25" i="5"/>
  <c r="R49" i="5"/>
  <c r="S49" i="5"/>
  <c r="G49" i="6" s="1"/>
  <c r="AG49" i="5"/>
  <c r="U49" i="5" s="1"/>
  <c r="S18" i="5"/>
  <c r="G18" i="6" s="1"/>
  <c r="R18" i="5"/>
  <c r="AG18" i="5"/>
  <c r="U18" i="5" s="1"/>
  <c r="AG19" i="5"/>
  <c r="W21" i="5" l="1"/>
  <c r="X21" i="5" s="1"/>
  <c r="AN21" i="5"/>
  <c r="W27" i="5"/>
  <c r="X27" i="5" s="1"/>
  <c r="AN27" i="5"/>
  <c r="AC27" i="5" s="1"/>
  <c r="AN23" i="5"/>
  <c r="W23" i="5"/>
  <c r="X23" i="5" s="1"/>
  <c r="AN45" i="5"/>
  <c r="W45" i="5"/>
  <c r="X45" i="5" s="1"/>
  <c r="F18" i="6"/>
  <c r="E18" i="12"/>
  <c r="E49" i="12"/>
  <c r="F49" i="6"/>
  <c r="E42" i="12"/>
  <c r="F42" i="6"/>
  <c r="AN51" i="5"/>
  <c r="W51" i="5"/>
  <c r="X51" i="5" s="1"/>
  <c r="AN30" i="5"/>
  <c r="W30" i="5"/>
  <c r="X30" i="5" s="1"/>
  <c r="AN36" i="5"/>
  <c r="W36" i="5"/>
  <c r="X36" i="5" s="1"/>
  <c r="W39" i="5"/>
  <c r="X39" i="5" s="1"/>
  <c r="AN39" i="5"/>
  <c r="W20" i="5"/>
  <c r="X20" i="5" s="1"/>
  <c r="AN20" i="5"/>
  <c r="AC20" i="5" s="1"/>
  <c r="F38" i="6"/>
  <c r="E38" i="12"/>
  <c r="F32" i="6"/>
  <c r="E32" i="12"/>
  <c r="AN28" i="5"/>
  <c r="W28" i="5"/>
  <c r="X28" i="5" s="1"/>
  <c r="AC28" i="5" s="1"/>
  <c r="AN31" i="5"/>
  <c r="W31" i="5"/>
  <c r="X31" i="5" s="1"/>
  <c r="AN41" i="5"/>
  <c r="W41" i="5"/>
  <c r="X41" i="5" s="1"/>
  <c r="W33" i="5"/>
  <c r="X33" i="5" s="1"/>
  <c r="AN33" i="5"/>
  <c r="AC33" i="5" s="1"/>
  <c r="F20" i="6"/>
  <c r="E20" i="12"/>
  <c r="E26" i="12"/>
  <c r="F26" i="6"/>
  <c r="F41" i="6"/>
  <c r="E41" i="12"/>
  <c r="F21" i="6"/>
  <c r="E21" i="12"/>
  <c r="AC21" i="5"/>
  <c r="E51" i="12"/>
  <c r="F51" i="6"/>
  <c r="AC51" i="5"/>
  <c r="E27" i="12"/>
  <c r="F27" i="6"/>
  <c r="E33" i="12"/>
  <c r="F33" i="6"/>
  <c r="F23" i="6"/>
  <c r="E23" i="12"/>
  <c r="AC23" i="5"/>
  <c r="E39" i="12"/>
  <c r="F39" i="6"/>
  <c r="AC39" i="5"/>
  <c r="F45" i="6"/>
  <c r="E45" i="12"/>
  <c r="AN32" i="5"/>
  <c r="W32" i="5"/>
  <c r="X32" i="5" s="1"/>
  <c r="AC32" i="5" s="1"/>
  <c r="AN26" i="5"/>
  <c r="W26" i="5"/>
  <c r="X26" i="5" s="1"/>
  <c r="E47" i="12"/>
  <c r="F47" i="6"/>
  <c r="W18" i="5"/>
  <c r="X18" i="5" s="1"/>
  <c r="AN18" i="5"/>
  <c r="W42" i="5"/>
  <c r="X42" i="5" s="1"/>
  <c r="AN42" i="5"/>
  <c r="F50" i="6"/>
  <c r="E50" i="12"/>
  <c r="E14" i="12"/>
  <c r="F14" i="6"/>
  <c r="AC14" i="5"/>
  <c r="E30" i="12"/>
  <c r="F30" i="6"/>
  <c r="F36" i="6"/>
  <c r="E36" i="12"/>
  <c r="AN38" i="5"/>
  <c r="W38" i="5"/>
  <c r="X38" i="5" s="1"/>
  <c r="AC38" i="5" s="1"/>
  <c r="AN49" i="5"/>
  <c r="W49" i="5"/>
  <c r="X49" i="5" s="1"/>
  <c r="AC49" i="5" s="1"/>
  <c r="W50" i="5"/>
  <c r="X50" i="5" s="1"/>
  <c r="AN50" i="5"/>
  <c r="F28" i="6"/>
  <c r="E28" i="12"/>
  <c r="W47" i="5"/>
  <c r="X47" i="5" s="1"/>
  <c r="AN47" i="5"/>
  <c r="E31" i="12"/>
  <c r="F31" i="6"/>
  <c r="AC31" i="5"/>
  <c r="AC47" i="5" l="1"/>
  <c r="AC30" i="5"/>
  <c r="AB41" i="6"/>
  <c r="Z41" i="5"/>
  <c r="AC41" i="6"/>
  <c r="I41" i="12"/>
  <c r="AM41" i="5"/>
  <c r="L41" i="5"/>
  <c r="AD41" i="6"/>
  <c r="X40" i="5"/>
  <c r="X34" i="5"/>
  <c r="X35" i="5"/>
  <c r="AM36" i="5"/>
  <c r="AB36" i="6"/>
  <c r="Z36" i="5"/>
  <c r="L36" i="5"/>
  <c r="AD36" i="6"/>
  <c r="AC36" i="6"/>
  <c r="V31" i="8" s="1"/>
  <c r="I36" i="12"/>
  <c r="I45" i="5"/>
  <c r="AB45" i="6"/>
  <c r="Z45" i="5"/>
  <c r="I45" i="12"/>
  <c r="X44" i="5"/>
  <c r="AM45" i="5"/>
  <c r="AD45" i="6"/>
  <c r="W43" i="8" s="1"/>
  <c r="L45" i="5"/>
  <c r="AC45" i="6"/>
  <c r="V43" i="8" s="1"/>
  <c r="L50" i="5"/>
  <c r="AD50" i="6"/>
  <c r="AB50" i="6"/>
  <c r="Z50" i="5"/>
  <c r="I50" i="12"/>
  <c r="AM50" i="5"/>
  <c r="AC50" i="6"/>
  <c r="Z18" i="5"/>
  <c r="L18" i="5"/>
  <c r="E19" i="8"/>
  <c r="I18" i="5"/>
  <c r="X17" i="5"/>
  <c r="F15" i="7"/>
  <c r="A15" i="10" s="1"/>
  <c r="I18" i="12"/>
  <c r="AM18" i="5"/>
  <c r="X16" i="5"/>
  <c r="I26" i="12"/>
  <c r="AM26" i="5"/>
  <c r="X25" i="5"/>
  <c r="AD26" i="6"/>
  <c r="Z26" i="5"/>
  <c r="L26" i="5"/>
  <c r="I26" i="5"/>
  <c r="I27" i="5" s="1"/>
  <c r="I28" i="5" s="1"/>
  <c r="AB26" i="6"/>
  <c r="AC26" i="6"/>
  <c r="X24" i="5"/>
  <c r="AC45" i="5"/>
  <c r="AB20" i="6"/>
  <c r="I20" i="12"/>
  <c r="Z20" i="5"/>
  <c r="AC20" i="6"/>
  <c r="I20" i="5"/>
  <c r="AM20" i="5"/>
  <c r="AD20" i="6"/>
  <c r="L20" i="5"/>
  <c r="X19" i="5"/>
  <c r="Z51" i="5"/>
  <c r="AD51" i="6"/>
  <c r="AB51" i="6"/>
  <c r="L51" i="5"/>
  <c r="AM51" i="5"/>
  <c r="I51" i="12"/>
  <c r="AC51" i="6"/>
  <c r="AC18" i="5"/>
  <c r="AD27" i="6"/>
  <c r="I27" i="12"/>
  <c r="AM27" i="5"/>
  <c r="L27" i="5"/>
  <c r="Z27" i="5"/>
  <c r="AB27" i="6"/>
  <c r="AC27" i="6"/>
  <c r="AM38" i="5"/>
  <c r="Z38" i="5"/>
  <c r="L38" i="5"/>
  <c r="AC38" i="6"/>
  <c r="AB38" i="6"/>
  <c r="I38" i="12"/>
  <c r="AD38" i="6"/>
  <c r="X37" i="5"/>
  <c r="AC36" i="5"/>
  <c r="AC33" i="6"/>
  <c r="AM33" i="5"/>
  <c r="I33" i="12"/>
  <c r="Z33" i="5"/>
  <c r="AB33" i="6"/>
  <c r="L33" i="5"/>
  <c r="AD33" i="6"/>
  <c r="AD31" i="6"/>
  <c r="Z31" i="5"/>
  <c r="AB31" i="6"/>
  <c r="L31" i="5"/>
  <c r="I31" i="12"/>
  <c r="AM31" i="5"/>
  <c r="AC31" i="6"/>
  <c r="AB23" i="6"/>
  <c r="AC23" i="6"/>
  <c r="Z23" i="5"/>
  <c r="I23" i="5"/>
  <c r="I23" i="12"/>
  <c r="X22" i="5"/>
  <c r="AM23" i="5"/>
  <c r="L23" i="5"/>
  <c r="AD23" i="6"/>
  <c r="AM47" i="5"/>
  <c r="AC47" i="6"/>
  <c r="V46" i="8" s="1"/>
  <c r="I47" i="12"/>
  <c r="AD47" i="6"/>
  <c r="W46" i="8" s="1"/>
  <c r="Z47" i="5"/>
  <c r="X46" i="5"/>
  <c r="I47" i="5"/>
  <c r="L47" i="5"/>
  <c r="AB47" i="6"/>
  <c r="AB28" i="6"/>
  <c r="AM28" i="5"/>
  <c r="AD28" i="6"/>
  <c r="Z28" i="5"/>
  <c r="AC28" i="6"/>
  <c r="L28" i="5"/>
  <c r="I28" i="12"/>
  <c r="L49" i="5"/>
  <c r="AM49" i="5"/>
  <c r="AC49" i="6"/>
  <c r="AD49" i="6"/>
  <c r="I49" i="12"/>
  <c r="Z49" i="5"/>
  <c r="AB49" i="6"/>
  <c r="X48" i="5"/>
  <c r="I49" i="5"/>
  <c r="I50" i="5" s="1"/>
  <c r="I51" i="5" s="1"/>
  <c r="AC50" i="5"/>
  <c r="AM42" i="5"/>
  <c r="AC42" i="6"/>
  <c r="Z42" i="5"/>
  <c r="L42" i="5"/>
  <c r="I42" i="12"/>
  <c r="AB42" i="6"/>
  <c r="AD42" i="6"/>
  <c r="AM32" i="5"/>
  <c r="AD32" i="6"/>
  <c r="AB32" i="6"/>
  <c r="I32" i="12"/>
  <c r="L32" i="5"/>
  <c r="Z32" i="5"/>
  <c r="AC32" i="6"/>
  <c r="AC41" i="5"/>
  <c r="AC26" i="5"/>
  <c r="AM39" i="5"/>
  <c r="Z39" i="5"/>
  <c r="AD39" i="6"/>
  <c r="AB39" i="6"/>
  <c r="I39" i="12"/>
  <c r="L39" i="5"/>
  <c r="AC39" i="6"/>
  <c r="AC30" i="6"/>
  <c r="X29" i="5"/>
  <c r="AM30" i="5"/>
  <c r="L30" i="5"/>
  <c r="AB30" i="6"/>
  <c r="I30" i="12"/>
  <c r="Z30" i="5"/>
  <c r="I30" i="5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AD30" i="6"/>
  <c r="AC42" i="5"/>
  <c r="X15" i="5"/>
  <c r="I21" i="12"/>
  <c r="AB21" i="6"/>
  <c r="AD21" i="6"/>
  <c r="AM21" i="5"/>
  <c r="L21" i="5"/>
  <c r="Z21" i="5"/>
  <c r="AC21" i="6"/>
  <c r="I21" i="5"/>
  <c r="Q31" i="10" l="1"/>
  <c r="S31" i="10"/>
  <c r="AC31" i="10"/>
  <c r="W31" i="10"/>
  <c r="Y31" i="10"/>
  <c r="AM15" i="5"/>
  <c r="Z15" i="5"/>
  <c r="M31" i="10"/>
  <c r="U31" i="10"/>
  <c r="AA31" i="10"/>
  <c r="K31" i="10"/>
  <c r="I31" i="10"/>
  <c r="O31" i="10"/>
  <c r="AE31" i="10"/>
  <c r="AO23" i="12"/>
  <c r="O23" i="12"/>
  <c r="M23" i="12"/>
  <c r="M22" i="12" s="1"/>
  <c r="C23" i="12"/>
  <c r="O31" i="5"/>
  <c r="C31" i="6"/>
  <c r="Z37" i="5"/>
  <c r="R32" i="8"/>
  <c r="AM37" i="5"/>
  <c r="I37" i="12"/>
  <c r="L37" i="5"/>
  <c r="AC37" i="5"/>
  <c r="O20" i="5"/>
  <c r="C20" i="6"/>
  <c r="AC15" i="6"/>
  <c r="R15" i="6" s="1"/>
  <c r="Z25" i="5"/>
  <c r="L25" i="5"/>
  <c r="I25" i="12"/>
  <c r="AM25" i="5"/>
  <c r="AC25" i="5"/>
  <c r="O18" i="5"/>
  <c r="C18" i="6"/>
  <c r="M50" i="12"/>
  <c r="O50" i="12"/>
  <c r="C50" i="12"/>
  <c r="AO50" i="12"/>
  <c r="C50" i="6"/>
  <c r="O50" i="5"/>
  <c r="O41" i="12"/>
  <c r="C41" i="12"/>
  <c r="M41" i="12"/>
  <c r="AO41" i="12"/>
  <c r="AO30" i="12"/>
  <c r="O30" i="12"/>
  <c r="C30" i="12"/>
  <c r="M30" i="12"/>
  <c r="AM29" i="5"/>
  <c r="Z29" i="5"/>
  <c r="I29" i="12"/>
  <c r="L29" i="5"/>
  <c r="AC29" i="5"/>
  <c r="O39" i="12"/>
  <c r="C39" i="12"/>
  <c r="AO39" i="12"/>
  <c r="M39" i="12"/>
  <c r="AB32" i="5"/>
  <c r="AA32" i="5"/>
  <c r="O42" i="12"/>
  <c r="AO42" i="12"/>
  <c r="C42" i="12"/>
  <c r="M42" i="12"/>
  <c r="W49" i="8"/>
  <c r="O28" i="5"/>
  <c r="C28" i="6"/>
  <c r="O47" i="12"/>
  <c r="M47" i="12"/>
  <c r="M46" i="12" s="1"/>
  <c r="AO47" i="12"/>
  <c r="C47" i="12"/>
  <c r="C23" i="6"/>
  <c r="O23" i="5"/>
  <c r="C33" i="6"/>
  <c r="O33" i="5"/>
  <c r="W34" i="8"/>
  <c r="W32" i="8" s="1"/>
  <c r="C38" i="6"/>
  <c r="O38" i="5"/>
  <c r="AO27" i="12"/>
  <c r="O27" i="12"/>
  <c r="N27" i="12" s="1"/>
  <c r="M27" i="12"/>
  <c r="C27" i="12"/>
  <c r="C51" i="12"/>
  <c r="AO51" i="12"/>
  <c r="M51" i="12"/>
  <c r="O51" i="12"/>
  <c r="AD15" i="6"/>
  <c r="S15" i="6" s="1"/>
  <c r="AB20" i="5"/>
  <c r="AA20" i="5"/>
  <c r="AM24" i="5"/>
  <c r="Z24" i="5"/>
  <c r="L24" i="5"/>
  <c r="I24" i="12"/>
  <c r="AC24" i="5"/>
  <c r="R26" i="8"/>
  <c r="C26" i="6"/>
  <c r="O26" i="5"/>
  <c r="O14" i="11"/>
  <c r="AM16" i="5"/>
  <c r="Z16" i="5"/>
  <c r="I16" i="12"/>
  <c r="R14" i="8"/>
  <c r="L16" i="5"/>
  <c r="AC16" i="5"/>
  <c r="I17" i="12"/>
  <c r="Z17" i="5"/>
  <c r="AM17" i="5"/>
  <c r="R17" i="8"/>
  <c r="L17" i="5"/>
  <c r="AC17" i="5"/>
  <c r="AB18" i="5"/>
  <c r="AA18" i="5"/>
  <c r="AB50" i="5"/>
  <c r="AA50" i="5"/>
  <c r="I44" i="12"/>
  <c r="L44" i="5"/>
  <c r="Z44" i="5"/>
  <c r="AC44" i="5"/>
  <c r="AM44" i="5"/>
  <c r="R41" i="8"/>
  <c r="V41" i="8" s="1"/>
  <c r="O36" i="5"/>
  <c r="C36" i="6"/>
  <c r="Z35" i="5"/>
  <c r="AC35" i="5"/>
  <c r="I35" i="12"/>
  <c r="L35" i="5"/>
  <c r="AM35" i="5"/>
  <c r="AB30" i="5"/>
  <c r="AA30" i="5"/>
  <c r="AB39" i="5"/>
  <c r="AA39" i="5"/>
  <c r="M28" i="12"/>
  <c r="O28" i="12"/>
  <c r="AO28" i="12"/>
  <c r="C28" i="12"/>
  <c r="C47" i="6"/>
  <c r="O47" i="5"/>
  <c r="M33" i="12"/>
  <c r="C33" i="12"/>
  <c r="O33" i="12"/>
  <c r="AO33" i="12"/>
  <c r="W37" i="8"/>
  <c r="AB21" i="5"/>
  <c r="AB19" i="5" s="1"/>
  <c r="AA21" i="5"/>
  <c r="C32" i="6"/>
  <c r="O32" i="5"/>
  <c r="C42" i="6"/>
  <c r="O42" i="5"/>
  <c r="AB49" i="5"/>
  <c r="AA49" i="5"/>
  <c r="AC46" i="5"/>
  <c r="AM46" i="5"/>
  <c r="Z46" i="5"/>
  <c r="I46" i="12"/>
  <c r="L46" i="5"/>
  <c r="R44" i="8"/>
  <c r="V44" i="8" s="1"/>
  <c r="AB23" i="5"/>
  <c r="AB22" i="5" s="1"/>
  <c r="AA23" i="5"/>
  <c r="AA22" i="5" s="1"/>
  <c r="AB31" i="5"/>
  <c r="AA31" i="5"/>
  <c r="O38" i="12"/>
  <c r="M38" i="12"/>
  <c r="C38" i="12"/>
  <c r="AO38" i="12"/>
  <c r="AB38" i="5"/>
  <c r="AB37" i="5" s="1"/>
  <c r="AA38" i="5"/>
  <c r="AA37" i="5" s="1"/>
  <c r="B32" i="8" s="1"/>
  <c r="AB27" i="5"/>
  <c r="AA27" i="5"/>
  <c r="AB51" i="5"/>
  <c r="AA51" i="5"/>
  <c r="C20" i="12"/>
  <c r="O20" i="12"/>
  <c r="M20" i="12"/>
  <c r="AO20" i="12"/>
  <c r="V28" i="8"/>
  <c r="V26" i="8" s="1"/>
  <c r="AB26" i="5"/>
  <c r="AA26" i="5"/>
  <c r="M26" i="12"/>
  <c r="O26" i="12"/>
  <c r="AO26" i="12"/>
  <c r="C26" i="12"/>
  <c r="O45" i="5"/>
  <c r="C45" i="6"/>
  <c r="M45" i="12"/>
  <c r="M44" i="12" s="1"/>
  <c r="O45" i="12"/>
  <c r="C45" i="12"/>
  <c r="AO45" i="12"/>
  <c r="O36" i="12"/>
  <c r="AO36" i="12"/>
  <c r="C36" i="12"/>
  <c r="M36" i="12"/>
  <c r="AB36" i="5"/>
  <c r="AA36" i="5"/>
  <c r="L34" i="5"/>
  <c r="Z34" i="5"/>
  <c r="AC34" i="5"/>
  <c r="I34" i="12"/>
  <c r="R29" i="8"/>
  <c r="AM34" i="5"/>
  <c r="C41" i="6"/>
  <c r="O41" i="5"/>
  <c r="AB41" i="5"/>
  <c r="AA41" i="5"/>
  <c r="O39" i="5"/>
  <c r="C39" i="6"/>
  <c r="R47" i="8"/>
  <c r="Z48" i="5"/>
  <c r="L48" i="5"/>
  <c r="AM48" i="5"/>
  <c r="I48" i="12"/>
  <c r="AC48" i="5"/>
  <c r="O21" i="5"/>
  <c r="C21" i="6"/>
  <c r="M21" i="12"/>
  <c r="C21" i="12"/>
  <c r="AO21" i="12"/>
  <c r="O21" i="12"/>
  <c r="C30" i="6"/>
  <c r="O30" i="5"/>
  <c r="C32" i="12"/>
  <c r="O32" i="12"/>
  <c r="AO32" i="12"/>
  <c r="Y32" i="12" s="1"/>
  <c r="M32" i="12"/>
  <c r="AB42" i="5"/>
  <c r="AA42" i="5"/>
  <c r="O49" i="12"/>
  <c r="C49" i="12"/>
  <c r="M49" i="12"/>
  <c r="M48" i="12" s="1"/>
  <c r="AO49" i="12"/>
  <c r="C49" i="6"/>
  <c r="O49" i="5"/>
  <c r="AB28" i="5"/>
  <c r="AA28" i="5"/>
  <c r="AB47" i="5"/>
  <c r="AB46" i="5" s="1"/>
  <c r="C44" i="8" s="1"/>
  <c r="AA47" i="5"/>
  <c r="AA46" i="5" s="1"/>
  <c r="B44" i="8" s="1"/>
  <c r="I22" i="12"/>
  <c r="L22" i="5"/>
  <c r="Z22" i="5"/>
  <c r="AM22" i="5"/>
  <c r="R23" i="8"/>
  <c r="AC22" i="5"/>
  <c r="U25" i="8"/>
  <c r="C31" i="12"/>
  <c r="O31" i="12"/>
  <c r="M31" i="12"/>
  <c r="AO31" i="12"/>
  <c r="AB33" i="5"/>
  <c r="AA33" i="5"/>
  <c r="C27" i="6"/>
  <c r="O27" i="5"/>
  <c r="O51" i="5"/>
  <c r="C51" i="6"/>
  <c r="AC19" i="5"/>
  <c r="AM19" i="5"/>
  <c r="I19" i="12"/>
  <c r="L19" i="5"/>
  <c r="Z19" i="5"/>
  <c r="R20" i="8"/>
  <c r="AB15" i="6"/>
  <c r="D22" i="8"/>
  <c r="T22" i="8"/>
  <c r="W28" i="8"/>
  <c r="W26" i="8" s="1"/>
  <c r="AO18" i="12"/>
  <c r="C18" i="12"/>
  <c r="M18" i="12"/>
  <c r="O18" i="12"/>
  <c r="X19" i="8"/>
  <c r="X17" i="8" s="1"/>
  <c r="U19" i="8"/>
  <c r="U17" i="8" s="1"/>
  <c r="Y19" i="8"/>
  <c r="Y17" i="8" s="1"/>
  <c r="AE19" i="8"/>
  <c r="AE17" i="8" s="1"/>
  <c r="V19" i="8"/>
  <c r="V17" i="8" s="1"/>
  <c r="AB19" i="8"/>
  <c r="AB17" i="8" s="1"/>
  <c r="Z19" i="8"/>
  <c r="Z17" i="8" s="1"/>
  <c r="AC19" i="8"/>
  <c r="AC17" i="8" s="1"/>
  <c r="AA19" i="8"/>
  <c r="AA17" i="8" s="1"/>
  <c r="AD19" i="8"/>
  <c r="AD17" i="8" s="1"/>
  <c r="W19" i="8"/>
  <c r="W17" i="8" s="1"/>
  <c r="D19" i="8"/>
  <c r="D17" i="8" s="1"/>
  <c r="T19" i="8"/>
  <c r="T17" i="8" s="1"/>
  <c r="G17" i="8" s="1"/>
  <c r="I18" i="8" s="1"/>
  <c r="W41" i="8"/>
  <c r="AB45" i="5"/>
  <c r="AB44" i="5" s="1"/>
  <c r="AA45" i="5"/>
  <c r="AA44" i="5" s="1"/>
  <c r="B41" i="8" s="1"/>
  <c r="V29" i="8"/>
  <c r="I40" i="12"/>
  <c r="L40" i="5"/>
  <c r="AC40" i="5"/>
  <c r="AM40" i="5"/>
  <c r="R35" i="8"/>
  <c r="Z40" i="5"/>
  <c r="T20" i="8" l="1"/>
  <c r="N32" i="12"/>
  <c r="N21" i="12"/>
  <c r="Y27" i="12"/>
  <c r="Y50" i="12"/>
  <c r="D20" i="8"/>
  <c r="N31" i="12"/>
  <c r="AB40" i="5"/>
  <c r="Y21" i="12"/>
  <c r="AB48" i="5"/>
  <c r="Y33" i="12"/>
  <c r="N28" i="12"/>
  <c r="N51" i="12"/>
  <c r="Y42" i="12"/>
  <c r="J40" i="12"/>
  <c r="C40" i="12"/>
  <c r="L40" i="12"/>
  <c r="K40" i="12" s="1"/>
  <c r="W21" i="12"/>
  <c r="X21" i="12"/>
  <c r="O48" i="5"/>
  <c r="C48" i="6"/>
  <c r="D39" i="12"/>
  <c r="E39" i="6"/>
  <c r="AB34" i="5"/>
  <c r="C29" i="8" s="1"/>
  <c r="AB35" i="5"/>
  <c r="AO24" i="12"/>
  <c r="AO25" i="12"/>
  <c r="Y26" i="12"/>
  <c r="AO37" i="12"/>
  <c r="Y38" i="12"/>
  <c r="E47" i="6"/>
  <c r="D47" i="12"/>
  <c r="E36" i="6"/>
  <c r="D36" i="12"/>
  <c r="O15" i="11"/>
  <c r="L14" i="13"/>
  <c r="C14" i="11"/>
  <c r="W14" i="11"/>
  <c r="E38" i="6"/>
  <c r="D38" i="12"/>
  <c r="AO46" i="12"/>
  <c r="Y47" i="12"/>
  <c r="D28" i="12"/>
  <c r="E28" i="6"/>
  <c r="Y30" i="12"/>
  <c r="AO29" i="12"/>
  <c r="N41" i="12"/>
  <c r="O40" i="12"/>
  <c r="E18" i="6"/>
  <c r="D18" i="12"/>
  <c r="O25" i="5"/>
  <c r="C25" i="6"/>
  <c r="D20" i="12"/>
  <c r="E20" i="6"/>
  <c r="D31" i="12"/>
  <c r="E31" i="6"/>
  <c r="AO22" i="12"/>
  <c r="Y23" i="12"/>
  <c r="W30" i="10"/>
  <c r="W29" i="10"/>
  <c r="W28" i="10" s="1"/>
  <c r="AO17" i="12"/>
  <c r="Y18" i="12"/>
  <c r="AO16" i="12"/>
  <c r="Q15" i="6"/>
  <c r="F19" i="7"/>
  <c r="F21" i="7"/>
  <c r="F18" i="7"/>
  <c r="F22" i="7"/>
  <c r="F20" i="7"/>
  <c r="F17" i="7"/>
  <c r="F14" i="7"/>
  <c r="F16" i="7"/>
  <c r="C19" i="12"/>
  <c r="L19" i="12"/>
  <c r="J19" i="12"/>
  <c r="D51" i="12"/>
  <c r="E51" i="6"/>
  <c r="D49" i="12"/>
  <c r="E49" i="6"/>
  <c r="E30" i="6"/>
  <c r="D30" i="12"/>
  <c r="AA40" i="5"/>
  <c r="B35" i="8" s="1"/>
  <c r="M34" i="12"/>
  <c r="M35" i="12"/>
  <c r="AO44" i="12"/>
  <c r="Y45" i="12"/>
  <c r="N26" i="12"/>
  <c r="O24" i="12"/>
  <c r="O25" i="12"/>
  <c r="T44" i="8"/>
  <c r="U44" i="8"/>
  <c r="X44" i="8"/>
  <c r="G45" i="8"/>
  <c r="F45" i="8"/>
  <c r="AE44" i="8"/>
  <c r="AC44" i="8"/>
  <c r="G44" i="8"/>
  <c r="I45" i="8" s="1"/>
  <c r="D44" i="8"/>
  <c r="AD44" i="8"/>
  <c r="Y44" i="8"/>
  <c r="AA44" i="8"/>
  <c r="F44" i="8"/>
  <c r="AB44" i="8"/>
  <c r="Z44" i="8"/>
  <c r="D42" i="12"/>
  <c r="E42" i="6"/>
  <c r="N33" i="12"/>
  <c r="AB29" i="5"/>
  <c r="F42" i="8"/>
  <c r="T41" i="8"/>
  <c r="X41" i="8"/>
  <c r="Y41" i="8"/>
  <c r="G41" i="8"/>
  <c r="I42" i="8" s="1"/>
  <c r="Z41" i="8"/>
  <c r="AA41" i="8"/>
  <c r="C41" i="8"/>
  <c r="AC41" i="8"/>
  <c r="U41" i="8"/>
  <c r="F41" i="8"/>
  <c r="D41" i="8"/>
  <c r="G42" i="8"/>
  <c r="AD41" i="8"/>
  <c r="AB41" i="8"/>
  <c r="AE41" i="8"/>
  <c r="O44" i="5"/>
  <c r="C44" i="6"/>
  <c r="O17" i="5"/>
  <c r="C17" i="6"/>
  <c r="C17" i="12"/>
  <c r="J17" i="12"/>
  <c r="L17" i="12"/>
  <c r="K17" i="12" s="1"/>
  <c r="L16" i="12"/>
  <c r="J16" i="12"/>
  <c r="C16" i="12"/>
  <c r="D26" i="12"/>
  <c r="E26" i="6"/>
  <c r="J24" i="12"/>
  <c r="C24" i="12"/>
  <c r="L24" i="12"/>
  <c r="AA19" i="5"/>
  <c r="B20" i="8" s="1"/>
  <c r="E23" i="6"/>
  <c r="D23" i="12"/>
  <c r="W47" i="8"/>
  <c r="N42" i="12"/>
  <c r="Y39" i="12"/>
  <c r="C29" i="6"/>
  <c r="O29" i="5"/>
  <c r="M29" i="12"/>
  <c r="Y41" i="12"/>
  <c r="AO40" i="12"/>
  <c r="Y40" i="12" s="1"/>
  <c r="D50" i="12"/>
  <c r="E50" i="6"/>
  <c r="N50" i="12"/>
  <c r="AB32" i="8"/>
  <c r="Z32" i="8"/>
  <c r="T32" i="8"/>
  <c r="G32" i="8" s="1"/>
  <c r="I33" i="8" s="1"/>
  <c r="C32" i="8"/>
  <c r="AC32" i="8"/>
  <c r="AA32" i="8"/>
  <c r="U32" i="8"/>
  <c r="Y32" i="8"/>
  <c r="AD32" i="8"/>
  <c r="G33" i="8"/>
  <c r="F33" i="8"/>
  <c r="F32" i="8"/>
  <c r="D32" i="8"/>
  <c r="V32" i="8"/>
  <c r="AE32" i="8"/>
  <c r="X32" i="8"/>
  <c r="W44" i="8"/>
  <c r="K30" i="10"/>
  <c r="K29" i="10"/>
  <c r="K28" i="10" s="1"/>
  <c r="AC29" i="10"/>
  <c r="AC28" i="10" s="1"/>
  <c r="AC30" i="10"/>
  <c r="X35" i="8"/>
  <c r="AC35" i="8"/>
  <c r="F36" i="8"/>
  <c r="Z35" i="8"/>
  <c r="T35" i="8"/>
  <c r="AD35" i="8"/>
  <c r="AB35" i="8"/>
  <c r="G36" i="8"/>
  <c r="D35" i="8"/>
  <c r="V35" i="8"/>
  <c r="G35" i="8"/>
  <c r="I36" i="8" s="1"/>
  <c r="AA35" i="8"/>
  <c r="AE35" i="8"/>
  <c r="F35" i="8"/>
  <c r="U35" i="8"/>
  <c r="C35" i="8"/>
  <c r="Y35" i="8"/>
  <c r="E21" i="6"/>
  <c r="D21" i="12"/>
  <c r="O19" i="12"/>
  <c r="N20" i="12"/>
  <c r="AA29" i="5"/>
  <c r="C35" i="12"/>
  <c r="J35" i="12"/>
  <c r="L35" i="12"/>
  <c r="K35" i="12" s="1"/>
  <c r="W42" i="12"/>
  <c r="X42" i="12"/>
  <c r="M29" i="10"/>
  <c r="M28" i="10" s="1"/>
  <c r="M30" i="10"/>
  <c r="O16" i="12"/>
  <c r="O17" i="12"/>
  <c r="N18" i="12"/>
  <c r="AE16" i="8"/>
  <c r="AE14" i="8" s="1"/>
  <c r="Y20" i="8"/>
  <c r="F20" i="8"/>
  <c r="AB20" i="8"/>
  <c r="AE20" i="8"/>
  <c r="Z20" i="8"/>
  <c r="AC20" i="8"/>
  <c r="C20" i="8"/>
  <c r="V20" i="8"/>
  <c r="AD20" i="8"/>
  <c r="G21" i="8"/>
  <c r="U20" i="8"/>
  <c r="G20" i="8" s="1"/>
  <c r="I21" i="8" s="1"/>
  <c r="X20" i="8"/>
  <c r="W20" i="8"/>
  <c r="AA20" i="8"/>
  <c r="F21" i="8"/>
  <c r="E27" i="6"/>
  <c r="D27" i="12"/>
  <c r="Y31" i="12"/>
  <c r="U23" i="8"/>
  <c r="N49" i="12"/>
  <c r="O48" i="12"/>
  <c r="N48" i="12" s="1"/>
  <c r="W32" i="12"/>
  <c r="X32" i="12"/>
  <c r="L48" i="12"/>
  <c r="J48" i="12"/>
  <c r="C48" i="12"/>
  <c r="AC47" i="8"/>
  <c r="T47" i="8"/>
  <c r="G48" i="8"/>
  <c r="V47" i="8"/>
  <c r="F47" i="8"/>
  <c r="AD47" i="8"/>
  <c r="C47" i="8"/>
  <c r="AB47" i="8"/>
  <c r="Y47" i="8"/>
  <c r="Z47" i="8"/>
  <c r="G47" i="8"/>
  <c r="I48" i="8" s="1"/>
  <c r="X47" i="8"/>
  <c r="AE47" i="8"/>
  <c r="U47" i="8"/>
  <c r="D47" i="8"/>
  <c r="F48" i="8"/>
  <c r="AA47" i="8"/>
  <c r="G30" i="8"/>
  <c r="Z29" i="8"/>
  <c r="G29" i="8" s="1"/>
  <c r="I30" i="8" s="1"/>
  <c r="AC29" i="8"/>
  <c r="X29" i="8"/>
  <c r="U29" i="8"/>
  <c r="AB29" i="8"/>
  <c r="F30" i="8"/>
  <c r="AE29" i="8"/>
  <c r="D29" i="8"/>
  <c r="W29" i="8"/>
  <c r="AA29" i="8"/>
  <c r="T29" i="8"/>
  <c r="F29" i="8"/>
  <c r="AD29" i="8"/>
  <c r="Y29" i="8"/>
  <c r="C34" i="6"/>
  <c r="O34" i="5"/>
  <c r="D45" i="12"/>
  <c r="E45" i="6"/>
  <c r="M24" i="12"/>
  <c r="M25" i="12"/>
  <c r="Y20" i="12"/>
  <c r="AO19" i="12"/>
  <c r="Y19" i="12" s="1"/>
  <c r="M37" i="12"/>
  <c r="B23" i="8"/>
  <c r="C46" i="6"/>
  <c r="O46" i="5"/>
  <c r="C44" i="12"/>
  <c r="J44" i="12"/>
  <c r="L44" i="12"/>
  <c r="AA17" i="5"/>
  <c r="B17" i="8" s="1"/>
  <c r="AA16" i="5"/>
  <c r="AA15" i="5"/>
  <c r="G18" i="8"/>
  <c r="F17" i="8"/>
  <c r="F18" i="8"/>
  <c r="AA16" i="8"/>
  <c r="AA14" i="8" s="1"/>
  <c r="U16" i="8"/>
  <c r="U14" i="8" s="1"/>
  <c r="Z16" i="8"/>
  <c r="Z14" i="8" s="1"/>
  <c r="T16" i="8"/>
  <c r="D16" i="8"/>
  <c r="D60" i="8" s="1"/>
  <c r="AD16" i="8"/>
  <c r="AD14" i="8" s="1"/>
  <c r="Y16" i="8"/>
  <c r="Y14" i="8" s="1"/>
  <c r="W16" i="8"/>
  <c r="W14" i="8" s="1"/>
  <c r="AC16" i="8"/>
  <c r="AC14" i="8" s="1"/>
  <c r="V16" i="8"/>
  <c r="V14" i="8" s="1"/>
  <c r="AB16" i="8"/>
  <c r="AB14" i="8" s="1"/>
  <c r="X16" i="8"/>
  <c r="X14" i="8" s="1"/>
  <c r="AC11" i="5"/>
  <c r="C24" i="6"/>
  <c r="O24" i="5"/>
  <c r="Y51" i="12"/>
  <c r="N47" i="12"/>
  <c r="O46" i="12"/>
  <c r="N46" i="12" s="1"/>
  <c r="C29" i="12"/>
  <c r="J29" i="12"/>
  <c r="L29" i="12"/>
  <c r="K29" i="12" s="1"/>
  <c r="M40" i="12"/>
  <c r="O37" i="5"/>
  <c r="C37" i="6"/>
  <c r="AE30" i="10"/>
  <c r="AE29" i="10"/>
  <c r="AE28" i="10" s="1"/>
  <c r="AA29" i="10"/>
  <c r="AA28" i="10" s="1"/>
  <c r="AA30" i="10"/>
  <c r="S30" i="10"/>
  <c r="S29" i="10"/>
  <c r="S28" i="10" s="1"/>
  <c r="C19" i="6"/>
  <c r="O19" i="5"/>
  <c r="D23" i="8"/>
  <c r="F24" i="8"/>
  <c r="T23" i="8"/>
  <c r="F23" i="8"/>
  <c r="AC23" i="8"/>
  <c r="Z23" i="8"/>
  <c r="X23" i="8"/>
  <c r="W23" i="8"/>
  <c r="G23" i="8" s="1"/>
  <c r="I24" i="8" s="1"/>
  <c r="C23" i="8"/>
  <c r="V23" i="8"/>
  <c r="AE23" i="8"/>
  <c r="AD23" i="8"/>
  <c r="Y23" i="8"/>
  <c r="G24" i="8"/>
  <c r="AA23" i="8"/>
  <c r="C22" i="12"/>
  <c r="J22" i="12"/>
  <c r="L22" i="12"/>
  <c r="O35" i="12"/>
  <c r="N35" i="12" s="1"/>
  <c r="O34" i="12"/>
  <c r="N36" i="12"/>
  <c r="AB25" i="5"/>
  <c r="AB24" i="5"/>
  <c r="C26" i="8" s="1"/>
  <c r="X33" i="12"/>
  <c r="W33" i="12"/>
  <c r="Q51" i="8"/>
  <c r="H51" i="8" s="1"/>
  <c r="G14" i="8"/>
  <c r="I15" i="8" s="1"/>
  <c r="F15" i="8"/>
  <c r="G15" i="8"/>
  <c r="F14" i="8"/>
  <c r="T60" i="8"/>
  <c r="I30" i="10"/>
  <c r="AE9" i="10" s="1"/>
  <c r="I29" i="10"/>
  <c r="I28" i="10" s="1"/>
  <c r="Y9" i="10" s="1"/>
  <c r="O40" i="5"/>
  <c r="C40" i="6"/>
  <c r="M16" i="12"/>
  <c r="M17" i="12"/>
  <c r="C22" i="6"/>
  <c r="O22" i="5"/>
  <c r="AO48" i="12"/>
  <c r="Y48" i="12" s="1"/>
  <c r="Y49" i="12"/>
  <c r="D41" i="12"/>
  <c r="E41" i="6"/>
  <c r="C34" i="12"/>
  <c r="J34" i="12"/>
  <c r="L34" i="12"/>
  <c r="AA35" i="5"/>
  <c r="AA34" i="5"/>
  <c r="B29" i="8" s="1"/>
  <c r="Y36" i="12"/>
  <c r="AO35" i="12"/>
  <c r="Y35" i="12" s="1"/>
  <c r="AO34" i="12"/>
  <c r="Y34" i="12" s="1"/>
  <c r="O44" i="12"/>
  <c r="N44" i="12" s="1"/>
  <c r="N45" i="12"/>
  <c r="AA24" i="5"/>
  <c r="B26" i="8" s="1"/>
  <c r="AA25" i="5"/>
  <c r="M19" i="12"/>
  <c r="O37" i="12"/>
  <c r="N37" i="12" s="1"/>
  <c r="N38" i="12"/>
  <c r="L46" i="12"/>
  <c r="J46" i="12"/>
  <c r="C46" i="12"/>
  <c r="AA48" i="5"/>
  <c r="B47" i="8" s="1"/>
  <c r="D32" i="12"/>
  <c r="E32" i="6"/>
  <c r="W35" i="8"/>
  <c r="Y28" i="12"/>
  <c r="O35" i="5"/>
  <c r="C35" i="6"/>
  <c r="AB17" i="5"/>
  <c r="C17" i="8" s="1"/>
  <c r="AB15" i="5"/>
  <c r="AB16" i="5"/>
  <c r="C16" i="6"/>
  <c r="O16" i="5"/>
  <c r="D26" i="8"/>
  <c r="Y26" i="8"/>
  <c r="AA26" i="8"/>
  <c r="AC26" i="8"/>
  <c r="U26" i="8"/>
  <c r="AD26" i="8"/>
  <c r="F27" i="8"/>
  <c r="AB26" i="8"/>
  <c r="AB23" i="8" s="1"/>
  <c r="T26" i="8"/>
  <c r="G26" i="8" s="1"/>
  <c r="I27" i="8" s="1"/>
  <c r="G27" i="8"/>
  <c r="AE26" i="8"/>
  <c r="X26" i="8"/>
  <c r="F26" i="8"/>
  <c r="Z26" i="8"/>
  <c r="X27" i="12"/>
  <c r="W27" i="12"/>
  <c r="E33" i="6"/>
  <c r="D33" i="12"/>
  <c r="N39" i="12"/>
  <c r="N30" i="12"/>
  <c r="O29" i="12"/>
  <c r="N29" i="12" s="1"/>
  <c r="X50" i="12"/>
  <c r="W50" i="12"/>
  <c r="L25" i="12"/>
  <c r="J25" i="12"/>
  <c r="C25" i="12"/>
  <c r="C37" i="12"/>
  <c r="J37" i="12"/>
  <c r="L37" i="12"/>
  <c r="O22" i="12"/>
  <c r="N22" i="12" s="1"/>
  <c r="N23" i="12"/>
  <c r="O29" i="10"/>
  <c r="O28" i="10" s="1"/>
  <c r="O30" i="10"/>
  <c r="U30" i="10"/>
  <c r="U29" i="10"/>
  <c r="U28" i="10" s="1"/>
  <c r="Y30" i="10"/>
  <c r="Y29" i="10"/>
  <c r="Y28" i="10" s="1"/>
  <c r="Q30" i="10"/>
  <c r="Q29" i="10"/>
  <c r="Q28" i="10" s="1"/>
  <c r="K48" i="12" l="1"/>
  <c r="K24" i="12"/>
  <c r="Y16" i="12"/>
  <c r="K25" i="12"/>
  <c r="Y24" i="12"/>
  <c r="D55" i="8"/>
  <c r="D51" i="8" s="1"/>
  <c r="D56" i="8"/>
  <c r="U50" i="12"/>
  <c r="T50" i="12"/>
  <c r="V50" i="12"/>
  <c r="A18" i="10"/>
  <c r="A18" i="9"/>
  <c r="X16" i="12"/>
  <c r="W16" i="12"/>
  <c r="D25" i="12"/>
  <c r="E25" i="6"/>
  <c r="W38" i="12"/>
  <c r="X38" i="12"/>
  <c r="X24" i="12"/>
  <c r="W24" i="12"/>
  <c r="T21" i="12"/>
  <c r="V21" i="12"/>
  <c r="U21" i="12"/>
  <c r="H17" i="8"/>
  <c r="E17" i="6"/>
  <c r="D17" i="12"/>
  <c r="AG14" i="13"/>
  <c r="U14" i="13" s="1"/>
  <c r="AD4" i="13" s="1"/>
  <c r="AD14" i="13"/>
  <c r="S14" i="13" s="1"/>
  <c r="M18" i="13" s="1"/>
  <c r="AB14" i="11"/>
  <c r="D35" i="12"/>
  <c r="E35" i="6"/>
  <c r="K46" i="12"/>
  <c r="X34" i="12"/>
  <c r="W34" i="12"/>
  <c r="E22" i="6"/>
  <c r="H23" i="8"/>
  <c r="D22" i="12"/>
  <c r="N34" i="12"/>
  <c r="E19" i="6"/>
  <c r="D19" i="12"/>
  <c r="H20" i="8"/>
  <c r="W51" i="12"/>
  <c r="X51" i="12"/>
  <c r="T14" i="8"/>
  <c r="T59" i="8" a="1"/>
  <c r="T59" i="8" s="1"/>
  <c r="T58" i="8" a="1"/>
  <c r="T58" i="8" s="1"/>
  <c r="AC14" i="13"/>
  <c r="R14" i="13" s="1"/>
  <c r="M17" i="13" s="1"/>
  <c r="AA14" i="11"/>
  <c r="AF14" i="13"/>
  <c r="T14" i="13" s="1"/>
  <c r="AD3" i="13" s="1"/>
  <c r="N19" i="12"/>
  <c r="X40" i="12"/>
  <c r="W40" i="12"/>
  <c r="X45" i="12"/>
  <c r="W45" i="12"/>
  <c r="K19" i="12"/>
  <c r="A17" i="9"/>
  <c r="A17" i="10"/>
  <c r="A21" i="9"/>
  <c r="A21" i="10"/>
  <c r="X18" i="12"/>
  <c r="W18" i="12"/>
  <c r="W23" i="12"/>
  <c r="X23" i="12"/>
  <c r="Y29" i="12"/>
  <c r="W47" i="12"/>
  <c r="X47" i="12"/>
  <c r="Y37" i="12"/>
  <c r="W48" i="12"/>
  <c r="X48" i="12"/>
  <c r="D14" i="8"/>
  <c r="D59" i="8" a="1"/>
  <c r="D59" i="8" s="1"/>
  <c r="D54" i="8" s="1"/>
  <c r="D58" i="8" a="1"/>
  <c r="D58" i="8" s="1"/>
  <c r="D53" i="8" s="1"/>
  <c r="E29" i="6"/>
  <c r="D29" i="12"/>
  <c r="K37" i="12"/>
  <c r="W28" i="12"/>
  <c r="X28" i="12"/>
  <c r="W35" i="12"/>
  <c r="X35" i="12"/>
  <c r="K34" i="12"/>
  <c r="H35" i="8"/>
  <c r="D40" i="12"/>
  <c r="E40" i="6"/>
  <c r="T55" i="8"/>
  <c r="T51" i="8" s="1"/>
  <c r="U60" i="8"/>
  <c r="T56" i="8"/>
  <c r="T57" i="8"/>
  <c r="T52" i="8" s="1"/>
  <c r="H32" i="8"/>
  <c r="D37" i="12"/>
  <c r="E37" i="6"/>
  <c r="E24" i="6"/>
  <c r="H26" i="8"/>
  <c r="D24" i="12"/>
  <c r="D46" i="12"/>
  <c r="E46" i="6"/>
  <c r="H44" i="8"/>
  <c r="W19" i="12"/>
  <c r="X19" i="12"/>
  <c r="T32" i="12"/>
  <c r="U32" i="12"/>
  <c r="V32" i="12"/>
  <c r="X31" i="12"/>
  <c r="W31" i="12"/>
  <c r="N17" i="12"/>
  <c r="X41" i="12"/>
  <c r="W41" i="12"/>
  <c r="W39" i="12"/>
  <c r="X39" i="12"/>
  <c r="H41" i="8"/>
  <c r="D44" i="12"/>
  <c r="E44" i="6"/>
  <c r="N25" i="12"/>
  <c r="Y44" i="12"/>
  <c r="A20" i="9"/>
  <c r="A20" i="10"/>
  <c r="A19" i="9"/>
  <c r="A19" i="10"/>
  <c r="Y17" i="12"/>
  <c r="Y22" i="12"/>
  <c r="W30" i="12"/>
  <c r="X30" i="12"/>
  <c r="Y46" i="12"/>
  <c r="L19" i="13"/>
  <c r="V14" i="13"/>
  <c r="D14" i="13"/>
  <c r="W26" i="12"/>
  <c r="X26" i="12"/>
  <c r="H47" i="8"/>
  <c r="E48" i="6"/>
  <c r="D48" i="12"/>
  <c r="AD12" i="13"/>
  <c r="AF12" i="13"/>
  <c r="AC12" i="13"/>
  <c r="AG12" i="13"/>
  <c r="AH12" i="13"/>
  <c r="AE12" i="13"/>
  <c r="AE14" i="13"/>
  <c r="M14" i="13" s="1"/>
  <c r="M19" i="13" s="1"/>
  <c r="AH14" i="13"/>
  <c r="O14" i="13" s="1"/>
  <c r="T33" i="12"/>
  <c r="U33" i="12"/>
  <c r="V33" i="12"/>
  <c r="D34" i="12"/>
  <c r="H29" i="8"/>
  <c r="E34" i="6"/>
  <c r="U27" i="12"/>
  <c r="T27" i="12"/>
  <c r="V27" i="12"/>
  <c r="D16" i="12"/>
  <c r="H14" i="8"/>
  <c r="E16" i="6"/>
  <c r="X36" i="12"/>
  <c r="W36" i="12"/>
  <c r="W49" i="12"/>
  <c r="X49" i="12"/>
  <c r="K22" i="12"/>
  <c r="K44" i="12"/>
  <c r="W20" i="12"/>
  <c r="X20" i="12"/>
  <c r="N16" i="12"/>
  <c r="V42" i="12"/>
  <c r="T42" i="12"/>
  <c r="U42" i="12"/>
  <c r="K16" i="12"/>
  <c r="N24" i="12"/>
  <c r="A16" i="9"/>
  <c r="A16" i="10"/>
  <c r="A22" i="10"/>
  <c r="A22" i="9"/>
  <c r="N40" i="12"/>
  <c r="O16" i="11"/>
  <c r="AA7" i="11"/>
  <c r="Y25" i="12"/>
  <c r="V36" i="12" l="1"/>
  <c r="U36" i="12"/>
  <c r="T36" i="12"/>
  <c r="I34" i="14"/>
  <c r="J34" i="14" s="1"/>
  <c r="K34" i="14" s="1"/>
  <c r="L34" i="14" s="1"/>
  <c r="I9" i="14"/>
  <c r="J9" i="14" s="1"/>
  <c r="K9" i="14" s="1"/>
  <c r="L9" i="14" s="1"/>
  <c r="I7" i="14"/>
  <c r="J7" i="14" s="1"/>
  <c r="K7" i="14" s="1"/>
  <c r="L7" i="14" s="1"/>
  <c r="I12" i="14"/>
  <c r="J12" i="14" s="1"/>
  <c r="K12" i="14" s="1"/>
  <c r="L12" i="14" s="1"/>
  <c r="I28" i="14"/>
  <c r="J28" i="14" s="1"/>
  <c r="K28" i="14" s="1"/>
  <c r="L28" i="14" s="1"/>
  <c r="I29" i="14"/>
  <c r="J29" i="14" s="1"/>
  <c r="K29" i="14" s="1"/>
  <c r="L29" i="14" s="1"/>
  <c r="I18" i="14"/>
  <c r="J18" i="14" s="1"/>
  <c r="K18" i="14" s="1"/>
  <c r="L18" i="14" s="1"/>
  <c r="I13" i="14"/>
  <c r="J13" i="14" s="1"/>
  <c r="K13" i="14" s="1"/>
  <c r="L13" i="14" s="1"/>
  <c r="I27" i="14"/>
  <c r="J27" i="14" s="1"/>
  <c r="K27" i="14" s="1"/>
  <c r="L27" i="14" s="1"/>
  <c r="I6" i="14"/>
  <c r="J6" i="14" s="1"/>
  <c r="K6" i="14" s="1"/>
  <c r="L6" i="14" s="1"/>
  <c r="I16" i="14"/>
  <c r="J16" i="14" s="1"/>
  <c r="K16" i="14" s="1"/>
  <c r="L16" i="14" s="1"/>
  <c r="I19" i="14"/>
  <c r="J19" i="14" s="1"/>
  <c r="K19" i="14" s="1"/>
  <c r="L19" i="14" s="1"/>
  <c r="I11" i="14"/>
  <c r="J11" i="14" s="1"/>
  <c r="K11" i="14" s="1"/>
  <c r="L11" i="14" s="1"/>
  <c r="I39" i="14"/>
  <c r="J39" i="14" s="1"/>
  <c r="K39" i="14" s="1"/>
  <c r="L39" i="14" s="1"/>
  <c r="I40" i="14"/>
  <c r="J40" i="14" s="1"/>
  <c r="K40" i="14" s="1"/>
  <c r="L40" i="14" s="1"/>
  <c r="I42" i="14"/>
  <c r="J42" i="14" s="1"/>
  <c r="K42" i="14" s="1"/>
  <c r="L42" i="14" s="1"/>
  <c r="I10" i="14"/>
  <c r="J10" i="14" s="1"/>
  <c r="K10" i="14" s="1"/>
  <c r="L10" i="14" s="1"/>
  <c r="I22" i="14"/>
  <c r="J22" i="14" s="1"/>
  <c r="K22" i="14" s="1"/>
  <c r="L22" i="14" s="1"/>
  <c r="I8" i="14"/>
  <c r="J8" i="14" s="1"/>
  <c r="K8" i="14" s="1"/>
  <c r="L8" i="14" s="1"/>
  <c r="I46" i="14"/>
  <c r="J46" i="14" s="1"/>
  <c r="K46" i="14" s="1"/>
  <c r="L46" i="14" s="1"/>
  <c r="I36" i="14"/>
  <c r="J36" i="14" s="1"/>
  <c r="K36" i="14" s="1"/>
  <c r="L36" i="14" s="1"/>
  <c r="I30" i="14"/>
  <c r="J30" i="14" s="1"/>
  <c r="K30" i="14" s="1"/>
  <c r="L30" i="14" s="1"/>
  <c r="I21" i="14"/>
  <c r="J21" i="14" s="1"/>
  <c r="K21" i="14" s="1"/>
  <c r="L21" i="14" s="1"/>
  <c r="I26" i="14"/>
  <c r="J26" i="14" s="1"/>
  <c r="K26" i="14" s="1"/>
  <c r="L26" i="14" s="1"/>
  <c r="I17" i="14"/>
  <c r="J17" i="14" s="1"/>
  <c r="K17" i="14" s="1"/>
  <c r="L17" i="14" s="1"/>
  <c r="I44" i="14"/>
  <c r="J44" i="14" s="1"/>
  <c r="K44" i="14" s="1"/>
  <c r="L44" i="14" s="1"/>
  <c r="I37" i="14"/>
  <c r="J37" i="14" s="1"/>
  <c r="K37" i="14" s="1"/>
  <c r="L37" i="14" s="1"/>
  <c r="I20" i="14"/>
  <c r="J20" i="14" s="1"/>
  <c r="K20" i="14" s="1"/>
  <c r="L20" i="14" s="1"/>
  <c r="I32" i="14"/>
  <c r="J32" i="14" s="1"/>
  <c r="K32" i="14" s="1"/>
  <c r="L32" i="14" s="1"/>
  <c r="I25" i="14"/>
  <c r="J25" i="14" s="1"/>
  <c r="K25" i="14" s="1"/>
  <c r="L25" i="14" s="1"/>
  <c r="I14" i="14"/>
  <c r="J14" i="14" s="1"/>
  <c r="K14" i="14" s="1"/>
  <c r="L14" i="14" s="1"/>
  <c r="I33" i="14"/>
  <c r="J33" i="14" s="1"/>
  <c r="K33" i="14" s="1"/>
  <c r="L33" i="14" s="1"/>
  <c r="I15" i="14"/>
  <c r="J15" i="14" s="1"/>
  <c r="K15" i="14" s="1"/>
  <c r="L15" i="14" s="1"/>
  <c r="I43" i="14"/>
  <c r="J43" i="14" s="1"/>
  <c r="K43" i="14" s="1"/>
  <c r="L43" i="14" s="1"/>
  <c r="I31" i="14"/>
  <c r="J31" i="14" s="1"/>
  <c r="K31" i="14" s="1"/>
  <c r="L31" i="14" s="1"/>
  <c r="I24" i="14"/>
  <c r="J24" i="14" s="1"/>
  <c r="K24" i="14" s="1"/>
  <c r="L24" i="14" s="1"/>
  <c r="I35" i="14"/>
  <c r="J35" i="14" s="1"/>
  <c r="K35" i="14" s="1"/>
  <c r="L35" i="14" s="1"/>
  <c r="I23" i="14"/>
  <c r="J23" i="14" s="1"/>
  <c r="K23" i="14" s="1"/>
  <c r="L23" i="14" s="1"/>
  <c r="I41" i="14"/>
  <c r="J41" i="14" s="1"/>
  <c r="K41" i="14" s="1"/>
  <c r="L41" i="14" s="1"/>
  <c r="I38" i="14"/>
  <c r="J38" i="14" s="1"/>
  <c r="K38" i="14" s="1"/>
  <c r="L38" i="14" s="1"/>
  <c r="I45" i="14"/>
  <c r="J45" i="14" s="1"/>
  <c r="K45" i="14" s="1"/>
  <c r="L45" i="14" s="1"/>
  <c r="V30" i="12"/>
  <c r="U30" i="12"/>
  <c r="T30" i="12"/>
  <c r="T28" i="12"/>
  <c r="V28" i="12"/>
  <c r="U28" i="12"/>
  <c r="V48" i="12"/>
  <c r="U48" i="12"/>
  <c r="T48" i="12"/>
  <c r="W29" i="12"/>
  <c r="X29" i="12"/>
  <c r="T40" i="12"/>
  <c r="V40" i="12"/>
  <c r="U40" i="12"/>
  <c r="AA15" i="11"/>
  <c r="Z14" i="11"/>
  <c r="Z15" i="11" s="1"/>
  <c r="U24" i="12"/>
  <c r="T24" i="12"/>
  <c r="V24" i="12"/>
  <c r="M15" i="13"/>
  <c r="O20" i="13"/>
  <c r="M16" i="13"/>
  <c r="U39" i="12"/>
  <c r="V39" i="12"/>
  <c r="T39" i="12"/>
  <c r="X37" i="12"/>
  <c r="W37" i="12"/>
  <c r="D57" i="8"/>
  <c r="D52" i="8" s="1"/>
  <c r="W25" i="12"/>
  <c r="X25" i="12"/>
  <c r="D33" i="14"/>
  <c r="L15" i="13"/>
  <c r="W22" i="12"/>
  <c r="X22" i="12"/>
  <c r="T31" i="12"/>
  <c r="U31" i="12"/>
  <c r="V31" i="12"/>
  <c r="P14" i="13"/>
  <c r="O19" i="13"/>
  <c r="N14" i="13"/>
  <c r="T26" i="12"/>
  <c r="U26" i="12"/>
  <c r="V26" i="12"/>
  <c r="W46" i="12"/>
  <c r="X46" i="12"/>
  <c r="X17" i="12"/>
  <c r="W17" i="12"/>
  <c r="U41" i="12"/>
  <c r="T41" i="12"/>
  <c r="V41" i="12"/>
  <c r="U35" i="12"/>
  <c r="V35" i="12"/>
  <c r="T35" i="12"/>
  <c r="T23" i="12"/>
  <c r="U23" i="12"/>
  <c r="V23" i="12"/>
  <c r="V45" i="12"/>
  <c r="T45" i="12"/>
  <c r="U45" i="12"/>
  <c r="T53" i="8"/>
  <c r="U58" i="8" a="1"/>
  <c r="U58" i="8" s="1"/>
  <c r="U51" i="12"/>
  <c r="T51" i="12"/>
  <c r="V51" i="12"/>
  <c r="T34" i="12"/>
  <c r="U34" i="12"/>
  <c r="V34" i="12"/>
  <c r="U16" i="12"/>
  <c r="V16" i="12"/>
  <c r="T16" i="12"/>
  <c r="T20" i="12"/>
  <c r="V20" i="12"/>
  <c r="U20" i="12"/>
  <c r="U49" i="12"/>
  <c r="T49" i="12"/>
  <c r="V49" i="12"/>
  <c r="W44" i="12"/>
  <c r="X44" i="12"/>
  <c r="V19" i="12"/>
  <c r="T19" i="12"/>
  <c r="U19" i="12"/>
  <c r="U56" i="8"/>
  <c r="V60" i="8"/>
  <c r="U55" i="8"/>
  <c r="U51" i="8" s="1"/>
  <c r="T47" i="12"/>
  <c r="U47" i="12"/>
  <c r="V47" i="12"/>
  <c r="V18" i="12"/>
  <c r="T18" i="12"/>
  <c r="U18" i="12"/>
  <c r="U59" i="8" a="1"/>
  <c r="U59" i="8" s="1"/>
  <c r="T54" i="8"/>
  <c r="AB15" i="11"/>
  <c r="AB7" i="11" s="1"/>
  <c r="Z3" i="11" s="1"/>
  <c r="AA3" i="11" s="1"/>
  <c r="N14" i="11"/>
  <c r="N15" i="11" s="1"/>
  <c r="T38" i="12"/>
  <c r="U38" i="12"/>
  <c r="V38" i="12"/>
  <c r="L18" i="13" l="1"/>
  <c r="D32" i="14" s="1"/>
  <c r="N16" i="11"/>
  <c r="V56" i="8"/>
  <c r="V55" i="8"/>
  <c r="V51" i="8" s="1"/>
  <c r="W60" i="8"/>
  <c r="T17" i="12"/>
  <c r="U17" i="12"/>
  <c r="V17" i="12"/>
  <c r="P15" i="13"/>
  <c r="F34" i="14" s="1"/>
  <c r="AD6" i="13"/>
  <c r="F33" i="14"/>
  <c r="O15" i="13"/>
  <c r="N19" i="13"/>
  <c r="AE4" i="13"/>
  <c r="O18" i="13" s="1"/>
  <c r="AD18" i="13"/>
  <c r="AC18" i="13"/>
  <c r="AE3" i="13"/>
  <c r="O17" i="13" s="1"/>
  <c r="O16" i="13" s="1"/>
  <c r="AD17" i="13"/>
  <c r="AC17" i="13"/>
  <c r="U37" i="12"/>
  <c r="T37" i="12"/>
  <c r="V37" i="12"/>
  <c r="AD12" i="11"/>
  <c r="AD14" i="11"/>
  <c r="V59" i="8" a="1"/>
  <c r="V59" i="8" s="1"/>
  <c r="U54" i="8"/>
  <c r="U57" i="8"/>
  <c r="U52" i="8" s="1"/>
  <c r="T44" i="12"/>
  <c r="V44" i="12"/>
  <c r="U44" i="12"/>
  <c r="V58" i="8" a="1"/>
  <c r="V58" i="8" s="1"/>
  <c r="U53" i="8"/>
  <c r="U22" i="12"/>
  <c r="V22" i="12"/>
  <c r="T22" i="12"/>
  <c r="U25" i="12"/>
  <c r="V25" i="12"/>
  <c r="T25" i="12"/>
  <c r="V29" i="12"/>
  <c r="U29" i="12"/>
  <c r="T29" i="12"/>
  <c r="V46" i="12"/>
  <c r="T46" i="12"/>
  <c r="U46" i="12"/>
  <c r="V54" i="8" l="1"/>
  <c r="W59" i="8" a="1"/>
  <c r="W59" i="8" s="1"/>
  <c r="N16" i="13"/>
  <c r="E30" i="14" s="1"/>
  <c r="F30" i="14"/>
  <c r="F32" i="14"/>
  <c r="N18" i="13"/>
  <c r="E32" i="14" s="1"/>
  <c r="AE6" i="13"/>
  <c r="AE2" i="13" s="1"/>
  <c r="AD2" i="13"/>
  <c r="AE12" i="11"/>
  <c r="M12" i="11" s="1"/>
  <c r="L12" i="11" s="1"/>
  <c r="AE14" i="11"/>
  <c r="M14" i="11" s="1"/>
  <c r="F31" i="14"/>
  <c r="N17" i="13"/>
  <c r="E31" i="14" s="1"/>
  <c r="E33" i="14"/>
  <c r="N15" i="13"/>
  <c r="E34" i="14"/>
  <c r="V57" i="8"/>
  <c r="V52" i="8" s="1"/>
  <c r="W58" i="8" a="1"/>
  <c r="W58" i="8" s="1"/>
  <c r="V53" i="8"/>
  <c r="W55" i="8"/>
  <c r="W51" i="8" s="1"/>
  <c r="X60" i="8"/>
  <c r="W56" i="8"/>
  <c r="X55" i="8" l="1"/>
  <c r="X51" i="8" s="1"/>
  <c r="Y60" i="8"/>
  <c r="X56" i="8"/>
  <c r="W53" i="8"/>
  <c r="X58" i="8" a="1"/>
  <c r="X58" i="8" s="1"/>
  <c r="W54" i="8"/>
  <c r="X59" i="8" a="1"/>
  <c r="X59" i="8" s="1"/>
  <c r="W57" i="8"/>
  <c r="W52" i="8" s="1"/>
  <c r="M15" i="11"/>
  <c r="L14" i="11"/>
  <c r="L15" i="11" s="1"/>
  <c r="X54" i="8" l="1"/>
  <c r="Y59" i="8" a="1"/>
  <c r="Y59" i="8" s="1"/>
  <c r="X57" i="8"/>
  <c r="X52" i="8" s="1"/>
  <c r="M10" i="11"/>
  <c r="N10" i="13" s="1"/>
  <c r="L17" i="13"/>
  <c r="D31" i="14" s="1"/>
  <c r="M16" i="11"/>
  <c r="L16" i="11"/>
  <c r="L10" i="11"/>
  <c r="M10" i="13" s="1"/>
  <c r="L16" i="13"/>
  <c r="D30" i="14" s="1"/>
  <c r="Y56" i="8"/>
  <c r="J10" i="13" s="1"/>
  <c r="G10" i="13" s="1"/>
  <c r="Y55" i="8"/>
  <c r="Y51" i="8" s="1"/>
  <c r="Z60" i="8"/>
  <c r="Y58" i="8" a="1"/>
  <c r="Y58" i="8" s="1"/>
  <c r="X53" i="8"/>
  <c r="Z58" i="8" l="1" a="1"/>
  <c r="Z58" i="8" s="1"/>
  <c r="Y53" i="8"/>
  <c r="AA60" i="8"/>
  <c r="Z55" i="8"/>
  <c r="Z51" i="8" s="1"/>
  <c r="Z56" i="8"/>
  <c r="Y54" i="8"/>
  <c r="Z59" i="8" a="1"/>
  <c r="Z59" i="8" s="1"/>
  <c r="G9" i="11"/>
  <c r="Y57" i="8"/>
  <c r="Y52" i="8" s="1"/>
  <c r="AA59" i="8" l="1" a="1"/>
  <c r="AA59" i="8" s="1"/>
  <c r="Z54" i="8"/>
  <c r="AA55" i="8"/>
  <c r="AA51" i="8" s="1"/>
  <c r="AB60" i="8"/>
  <c r="AA56" i="8"/>
  <c r="Z57" i="8"/>
  <c r="Z52" i="8" s="1"/>
  <c r="Z53" i="8"/>
  <c r="AA58" i="8" a="1"/>
  <c r="AA58" i="8" s="1"/>
  <c r="AA57" i="8" l="1"/>
  <c r="AA52" i="8" s="1"/>
  <c r="AC60" i="8"/>
  <c r="AB55" i="8"/>
  <c r="AB51" i="8" s="1"/>
  <c r="AB56" i="8"/>
  <c r="AB58" i="8" a="1"/>
  <c r="AB58" i="8" s="1"/>
  <c r="AA53" i="8"/>
  <c r="AB59" i="8" a="1"/>
  <c r="AB59" i="8" s="1"/>
  <c r="AB57" i="8" s="1"/>
  <c r="AB52" i="8" s="1"/>
  <c r="AA54" i="8"/>
  <c r="AB53" i="8" l="1"/>
  <c r="AC58" i="8" a="1"/>
  <c r="AC58" i="8" s="1"/>
  <c r="AC59" i="8" a="1"/>
  <c r="AC59" i="8" s="1"/>
  <c r="AC57" i="8" s="1"/>
  <c r="AC52" i="8" s="1"/>
  <c r="AB54" i="8"/>
  <c r="AC55" i="8"/>
  <c r="AC51" i="8" s="1"/>
  <c r="AC56" i="8"/>
  <c r="AD60" i="8"/>
  <c r="AE60" i="8" l="1"/>
  <c r="AD55" i="8"/>
  <c r="AD51" i="8" s="1"/>
  <c r="AD56" i="8"/>
  <c r="AD59" i="8" a="1"/>
  <c r="AD59" i="8" s="1"/>
  <c r="AD57" i="8" s="1"/>
  <c r="AD52" i="8" s="1"/>
  <c r="AC54" i="8"/>
  <c r="AC53" i="8"/>
  <c r="AD58" i="8" a="1"/>
  <c r="AD58" i="8" s="1"/>
  <c r="AE58" i="8" l="1" a="1"/>
  <c r="AE58" i="8" s="1"/>
  <c r="AD53" i="8"/>
  <c r="AE59" i="8" a="1"/>
  <c r="AE59" i="8" s="1"/>
  <c r="AE54" i="8" s="1"/>
  <c r="AD54" i="8"/>
  <c r="AE55" i="8"/>
  <c r="AE51" i="8" s="1"/>
  <c r="AE56" i="8"/>
  <c r="AF60" i="8"/>
  <c r="B9" i="9"/>
  <c r="J10" i="8"/>
  <c r="AE57" i="8" l="1"/>
  <c r="AF58" i="8"/>
  <c r="AE53" i="8"/>
  <c r="AE52" i="8" l="1"/>
  <c r="AF57" i="8"/>
  <c r="AF59" i="8" s="1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<sst xmlns="http://schemas.openxmlformats.org/spreadsheetml/2006/main" count="1318" uniqueCount="522">
  <si>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</si>
  <si>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</si>
  <si>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</si>
  <si>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</si>
  <si>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</si>
  <si>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</si>
  <si>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</si>
  <si>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</si>
  <si>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</si>
  <si>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</si>
  <si>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</si>
  <si>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</si>
  <si>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</si>
  <si>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</si>
  <si>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</si>
  <si>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</si>
  <si>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</si>
  <si>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</si>
  <si>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</si>
  <si>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</si>
  <si>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</si>
  <si>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</si>
  <si>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</si>
  <si>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</si>
  <si>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</si>
  <si>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</si>
  <si>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</si>
  <si>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</si>
  <si>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</si>
  <si>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</si>
  <si>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</si>
  <si>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</si>
  <si>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</si>
  <si>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</si>
  <si>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</si>
  <si>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</si>
  <si>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</si>
  <si>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</si>
  <si>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</si>
  <si>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</si>
  <si>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</si>
  <si>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</si>
  <si>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</si>
  <si>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</si>
  <si>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</si>
  <si>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</si>
  <si>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</si>
  <si>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</si>
  <si>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</si>
  <si>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</si>
  <si>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</si>
  <si>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</si>
  <si>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</si>
  <si>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</si>
  <si>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</si>
  <si>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</si>
  <si>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</si>
  <si>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</si>
  <si>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</si>
  <si>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</si>
  <si>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</si>
  <si>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</si>
  <si>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</si>
  <si>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</si>
  <si>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</si>
  <si>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</si>
  <si>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</si>
  <si>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</si>
  <si>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</si>
  <si>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</si>
  <si>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</si>
  <si>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</si>
  <si>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</si>
  <si>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</si>
  <si>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</si>
  <si>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</si>
  <si>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</si>
  <si>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</si>
  <si>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</si>
  <si>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</si>
  <si>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</si>
  <si>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</si>
  <si>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</si>
  <si>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</si>
  <si>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</si>
  <si>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</si>
  <si>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</si>
  <si>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</si>
  <si>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</si>
  <si>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</si>
  <si>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</si>
  <si>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</si>
  <si>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</si>
  <si>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</si>
  <si>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</si>
  <si>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</si>
  <si>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</si>
  <si>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</si>
  <si>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</si>
  <si>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</si>
  <si>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</si>
  <si>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</si>
  <si>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</si>
  <si>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</si>
  <si>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</si>
  <si>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</si>
  <si>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</si>
  <si>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</si>
  <si>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</si>
  <si>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</si>
  <si>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</si>
  <si>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</si>
  <si>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</si>
  <si>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</si>
  <si>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</si>
  <si>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</si>
  <si>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</si>
  <si>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</si>
  <si>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</si>
  <si>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</si>
  <si>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</si>
  <si>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</si>
  <si>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</si>
  <si>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</si>
  <si>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</si>
  <si>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</si>
  <si>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</si>
  <si>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</si>
  <si>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</si>
  <si>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</si>
  <si>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</si>
  <si>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</si>
  <si>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</si>
  <si>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</si>
  <si>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</si>
  <si>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</si>
  <si>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</si>
  <si>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</si>
  <si>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</si>
  <si>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</si>
  <si>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</si>
  <si>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</si>
  <si>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</si>
  <si>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</si>
  <si>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</si>
  <si>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</si>
  <si>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</si>
  <si>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</si>
  <si>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</si>
  <si>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</si>
  <si>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</si>
  <si>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</si>
  <si>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</si>
  <si>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</si>
  <si>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</si>
  <si>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</si>
  <si>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</si>
  <si>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</si>
  <si>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</si>
  <si>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</si>
  <si>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</si>
  <si>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</si>
  <si>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</si>
  <si>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</si>
  <si>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</si>
  <si>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</si>
  <si>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</si>
  <si>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</si>
  <si>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</si>
  <si>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</si>
  <si>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</si>
  <si>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</si>
  <si>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</si>
  <si>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</si>
  <si>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</si>
  <si>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</si>
  <si>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</si>
  <si>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</si>
  <si>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</si>
  <si>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</si>
  <si>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</si>
  <si>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</si>
  <si>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</si>
  <si>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</si>
  <si>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</si>
  <si>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</si>
  <si>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</si>
  <si>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</si>
  <si>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</si>
  <si>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</si>
  <si>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</si>
  <si>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</si>
  <si>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</si>
  <si>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</si>
  <si>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</si>
  <si>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</si>
  <si>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</si>
  <si>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</si>
  <si>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</si>
  <si>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</si>
  <si>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</si>
  <si>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</si>
  <si>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</si>
  <si>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</si>
  <si>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</si>
  <si>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</si>
  <si>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</si>
  <si>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</si>
  <si>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</si>
  <si>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</si>
  <si>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</si>
  <si>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</si>
  <si>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</si>
  <si>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</si>
  <si>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</si>
  <si>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</si>
  <si>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</si>
  <si>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</si>
  <si>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</si>
  <si>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</si>
  <si>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</si>
  <si>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</si>
  <si>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</si>
  <si>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</si>
  <si>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</si>
  <si>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</si>
  <si>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</si>
  <si>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</si>
  <si>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</si>
  <si>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</si>
  <si>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</si>
  <si>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</si>
  <si>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</si>
  <si>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</si>
  <si>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</si>
  <si>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</si>
  <si>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</si>
  <si>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</si>
  <si>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</si>
  <si>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</si>
  <si>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</si>
  <si>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</si>
  <si>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</si>
  <si>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</si>
  <si>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</si>
  <si>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</si>
  <si>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</si>
  <si>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</si>
  <si>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</si>
  <si>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</si>
  <si>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</si>
  <si>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</si>
  <si>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</si>
  <si>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</si>
  <si>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</si>
  <si>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</si>
  <si>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</si>
  <si>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</si>
  <si>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</si>
  <si>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</si>
  <si>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</si>
  <si>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</si>
  <si>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</si>
  <si>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</si>
  <si>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</si>
  <si>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</si>
  <si>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</si>
  <si>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</si>
  <si>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</si>
  <si>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</si>
  <si>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</si>
  <si>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</si>
  <si>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</si>
  <si>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</si>
  <si>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</si>
  <si>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</si>
  <si>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</si>
  <si>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</si>
  <si>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</si>
  <si>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</si>
  <si>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</si>
  <si>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</si>
  <si>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</si>
  <si>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</si>
  <si>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</si>
  <si>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</si>
  <si>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</si>
  <si>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</si>
  <si>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</si>
  <si>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</si>
  <si>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</si>
  <si>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</si>
  <si>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</si>
  <si>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</si>
  <si>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</si>
  <si>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</si>
  <si>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</si>
  <si>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</si>
  <si>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</si>
  <si>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</si>
  <si>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</si>
  <si>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</si>
  <si>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</si>
  <si>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</si>
  <si>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</si>
  <si>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</si>
  <si>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</si>
  <si>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</si>
  <si>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</si>
  <si>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</si>
  <si>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</si>
  <si>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</si>
  <si>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</si>
  <si>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</si>
  <si>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</si>
  <si>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</si>
  <si>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</si>
  <si>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</si>
  <si>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</si>
  <si>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</si>
  <si>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</si>
  <si>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</si>
  <si>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</si>
  <si>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</si>
  <si>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</si>
  <si>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</si>
  <si>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</si>
  <si>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</si>
  <si>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</si>
  <si>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</si>
  <si>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</si>
  <si>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</si>
  <si>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</si>
  <si>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</si>
  <si>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</si>
  <si>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</si>
  <si>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</si>
  <si>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</si>
  <si>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</si>
  <si>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</si>
  <si>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</si>
  <si>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</si>
  <si>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</si>
  <si>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</si>
  <si>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</si>
  <si>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</si>
  <si>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</si>
  <si>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</si>
  <si>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</si>
  <si>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</si>
  <si>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</si>
  <si>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</si>
  <si>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</si>
  <si>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</si>
  <si>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</si>
  <si>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</si>
  <si>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</si>
  <si>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</si>
  <si>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</si>
  <si>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</si>
  <si>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</si>
  <si>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</si>
  <si>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</si>
  <si>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</si>
  <si>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</si>
  <si>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</si>
  <si>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</si>
  <si>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</si>
  <si>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</si>
  <si>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</si>
  <si>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</si>
  <si>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</si>
  <si>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</si>
  <si>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</si>
  <si>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</si>
  <si>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</si>
  <si>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</si>
  <si>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</si>
  <si>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</si>
  <si>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</si>
  <si>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</si>
  <si>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</si>
  <si>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</si>
  <si>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</si>
  <si>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</si>
  <si>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</si>
  <si>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</si>
  <si>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</si>
  <si>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</si>
  <si>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</si>
  <si>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</si>
  <si>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</si>
  <si>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</si>
  <si>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</si>
  <si>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</si>
  <si>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</si>
  <si>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</si>
  <si>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</si>
  <si>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</si>
  <si>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</si>
  <si>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</si>
  <si>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</si>
  <si>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</si>
  <si>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</si>
  <si>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</si>
  <si>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</si>
  <si>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</si>
  <si>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</si>
  <si>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</si>
  <si>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</si>
  <si>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</si>
  <si>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</si>
  <si>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</si>
  <si>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</si>
  <si>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</si>
  <si>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</si>
  <si>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</si>
  <si>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</si>
  <si>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</si>
  <si>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</si>
  <si>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</si>
  <si>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</si>
  <si>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</si>
  <si>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</si>
  <si>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</si>
  <si>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</si>
  <si>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</si>
  <si>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</si>
  <si>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</si>
  <si>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</si>
  <si>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</si>
  <si>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</si>
  <si>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</si>
  <si>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</si>
  <si>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</si>
  <si>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</si>
  <si>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</si>
  <si>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</si>
  <si>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</si>
  <si>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</si>
  <si>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</si>
  <si>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94273</t>
  </si>
  <si>
    <t>95875</t>
  </si>
  <si>
    <t>93590</t>
  </si>
  <si>
    <t>SERVIÇOS PRELIMINARES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</si>
  <si>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</si>
  <si>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</si>
  <si>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</si>
  <si>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</si>
  <si>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</si>
  <si>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</si>
  <si>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</si>
  <si>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</si>
  <si>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</si>
  <si>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</si>
  <si>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</si>
  <si>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</si>
  <si>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</si>
  <si>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</si>
  <si>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</si>
  <si>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</si>
  <si>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</si>
  <si>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</si>
  <si>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</si>
  <si>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</si>
  <si>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DO MF=volume do MF (1x0,14x0,30=0,042m) x comprimento dos passeios x DMT de 30km (pq São Sepé é 45KM, coloco os 30km inciais depois o restante).</t>
  </si>
  <si>
    <t>TRANSPORTE AREIA E PÓ DE PEDRA PARA ASSENTAMENTO DOS BLOCOS=consumo de areia por m³ (0,0677 m³) x área da pista X DMT 10km pq é em Caçapava.</t>
  </si>
  <si>
    <t>Contagem em planta.</t>
  </si>
  <si>
    <t>TRANSPORTE DO MF=volume do MF (1x0,14x0,30=0,042m) x comprimento dos passeios x DMT de 15km (pq São Sepé é 45KM, esses 15km é o restante que faltou).</t>
  </si>
  <si>
    <t>TRANSPORTE  BLOCO INTERTRAVADO DE CONCRETO=  area das faixas elevadas x volume do bloco de concreto (0,22x0,11x0,10) x  DMT de 15km (pq São Sepé é 45KM, esses 15km é o restante que faltou).</t>
  </si>
  <si>
    <t>TRANSPORTE  BLOCO INTERTRAVADO DE CONCRETO=  área das faixas elevadas x volume do bloco de concreto (0,22x0,11x0,10) x  DMT de 30km (pq São Sepé é 45KM, esses são os primeiros 30km).</t>
  </si>
  <si>
    <t>ÁREA DA PISTA = largura das pistas x comprimento pistas OU        Medir em planta no autocad.</t>
  </si>
  <si>
    <t>Schaiane da Silva Lopes</t>
  </si>
  <si>
    <t>RS142294-4</t>
  </si>
  <si>
    <t>92406</t>
  </si>
  <si>
    <t>Meio-Fio</t>
  </si>
  <si>
    <t>Pavimentação da pista de rolamento com bloco de concreto 16 faces</t>
  </si>
  <si>
    <t>ADMINISTRAÇÃO LOCAL</t>
  </si>
  <si>
    <t>TERRAPLANAGEM</t>
  </si>
  <si>
    <t>12377498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</si>
  <si>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</si>
  <si>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</si>
  <si>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</si>
  <si>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</si>
  <si>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</si>
  <si>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</si>
  <si>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</si>
  <si>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</si>
  <si>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</si>
  <si>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>028</t>
  </si>
  <si>
    <t xml:space="preserve">Área total da via, medida em planta e dividida proporcionalmente em dois trechos. </t>
  </si>
  <si>
    <t xml:space="preserve">EXTENSÃO TOTAL DO MF= comprimento dos MF + 2m de dobra de MF em cada esquina OU Medir a dobra do MF em planta no autocad. ESTE QUANTITATIVO CONTEMPLA OS MEIO-FIOS NECESSÁRIOS PARA TRAVAMENTO DA PAVIMENTAÇÃO. </t>
  </si>
  <si>
    <t>PASSEIO PÚBLICO</t>
  </si>
  <si>
    <t>5.Pesseio Público</t>
  </si>
  <si>
    <t xml:space="preserve">7.Sinalização Vertical </t>
  </si>
  <si>
    <t>Lado Direito</t>
  </si>
  <si>
    <t>Lado Esquerdo</t>
  </si>
  <si>
    <t>Passeio Público</t>
  </si>
  <si>
    <t>QUANTITATIVO REALIZADO EM PLANTA. (DIMENSIONAMENTO = EXTENSÃO DO PASSEIO X 0,50M)</t>
  </si>
  <si>
    <t xml:space="preserve">PAVIMENTAÇÃO </t>
  </si>
  <si>
    <t>Calçamento da Rua General Neto</t>
  </si>
  <si>
    <t>RECOMPOSIÇÃO DE DISPOSITIVOS DE DRENAGEM EXISTENTE</t>
  </si>
  <si>
    <t>97951</t>
  </si>
  <si>
    <t>Boca de Lobo</t>
  </si>
  <si>
    <t>Recompisição de drenagem</t>
  </si>
  <si>
    <t>5.Recompisição de drenagem</t>
  </si>
  <si>
    <t>6.Passeio Público</t>
  </si>
  <si>
    <t>1 Unidade no trecho 01</t>
  </si>
  <si>
    <t>Visitas Técnicas Semanais (5x4x3,5 = 70h) - meses x semanas x horas</t>
  </si>
  <si>
    <t>CALÇAMENTO DA RUA GAL. NETO</t>
  </si>
  <si>
    <t>TRECHO 01 (Primeiros 79,75m)</t>
  </si>
  <si>
    <t>TRECHO 02 (últimos 79,75m)</t>
  </si>
  <si>
    <t>FAIXA ELEVADA PAERA TRAVESSIA DE PEDESTRE EM BLOCO DE CONCRETO</t>
  </si>
  <si>
    <t>102509</t>
  </si>
  <si>
    <t>Canaleta de concreto para drenagem</t>
  </si>
  <si>
    <t xml:space="preserve">COMPOSIÇÃO </t>
  </si>
  <si>
    <t>30</t>
  </si>
  <si>
    <t>Faixa elevada</t>
  </si>
  <si>
    <t>8.Faixa elevada</t>
  </si>
  <si>
    <t>32</t>
  </si>
  <si>
    <t>025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</si>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</sst>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24" fillId="0" borderId="32" xfId="33" applyFont="1" applyBorder="1" applyAlignment="1">
      <alignment horizontal="center" vertical="center"/>
    </xf>
    <xf numFmtId="4" fontId="17" fillId="0" borderId="32" xfId="33" applyNumberFormat="1" applyFont="1" applyBorder="1" applyAlignment="1">
      <alignment horizontal="center" vertical="center" wrapText="1"/>
    </xf>
    <xf numFmtId="0" fontId="17" fillId="0" borderId="32" xfId="33" applyFont="1" applyBorder="1" applyAlignment="1">
      <alignment horizontal="center" vertic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33" applyFont="1" applyBorder="1" applyAlignment="1">
      <alignment horizontal="center" vertical="center" wrapText="1"/>
    </xf>
    <xf numFmtId="4" fontId="17" fillId="0" borderId="32" xfId="33" applyNumberFormat="1" applyFont="1" applyBorder="1" applyAlignment="1">
      <alignment horizontal="center" vertical="center"/>
    </xf>
    <xf numFmtId="164" fontId="8" fillId="16" borderId="14" xfId="32" applyFont="1" applyFill="1" applyBorder="1" applyAlignment="1" applyProtection="1">
      <alignment horizontal="left"/>
      <protection locked="0"/>
    </xf>
    <xf numFmtId="0" fontId="33" fillId="0" borderId="0" xfId="0" applyFont="1" applyAlignment="1">
      <alignment horizontal="center" vertical="top"/>
    </xf>
    <xf numFmtId="0" fontId="8" fillId="0" borderId="32" xfId="33" applyFont="1" applyBorder="1" applyAlignment="1">
      <alignment horizontal="left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0" fillId="0" borderId="0" xfId="33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0" fillId="0" borderId="10" xfId="33" applyFont="1" applyBorder="1" applyAlignment="1">
      <alignment horizontal="left" vertical="center"/>
    </xf>
    <xf numFmtId="0" fontId="23" fillId="0" borderId="32" xfId="33" applyFont="1" applyBorder="1" applyAlignment="1">
      <alignment horizontal="center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Alignment="1">
      <alignment horizontal="center" textRotation="90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24" fillId="17" borderId="32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0" fontId="46" fillId="0" borderId="14" xfId="34" applyFont="1" applyBorder="1" applyAlignment="1">
      <alignment horizontal="left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wrapText="1"/>
    </xf>
    <xf numFmtId="0" fontId="0" fillId="0" borderId="40" xfId="0" applyBorder="1" applyAlignment="1">
      <alignment horizontal="left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10" fontId="23" fillId="0" borderId="14" xfId="37" applyNumberFormat="1" applyFont="1" applyFill="1" applyBorder="1" applyAlignment="1" applyProtection="1">
      <alignment horizontal="center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0" fillId="0" borderId="14" xfId="0" applyBorder="1" applyAlignment="1">
      <alignment horizontal="center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23" fillId="6" borderId="3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4" fontId="24" fillId="0" borderId="31" xfId="0" applyNumberFormat="1" applyFont="1" applyBorder="1" applyAlignment="1">
      <alignment horizontal="left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517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89" t="str">
        <f>CHOOSE(MATCH(Objeto,{"PM","PO"}),"PLANILHA MÚLTIPLA ","PLANILHA ORÇAMENTÁRIA ")&amp; Versao</f>
        <v>PLANILHA MÚLTIPLA v3.0.5</v>
      </c>
      <c r="F2" s="589"/>
      <c r="G2" s="589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89"/>
      <c r="F3" s="589"/>
      <c r="G3" s="589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88" t="str">
        <f>IF($O$3&lt;&gt;2,"DOCUMENTAÇÃO DA PROPOSTA","PROPOSTA: Para visualizar/preencher esta seção, altere o TIPO DE ORÇAMENTO para 'Proposto'")</f>
        <v>DOCUMENTAÇÃO DA PROPOSTA</v>
      </c>
      <c r="C8" s="588"/>
      <c r="D8" s="588"/>
      <c r="E8" s="588"/>
      <c r="F8" s="588"/>
      <c r="G8" s="588"/>
      <c r="H8" s="588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88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88"/>
      <c r="D16" s="588"/>
      <c r="E16" s="588"/>
      <c r="F16" s="588"/>
      <c r="G16" s="588"/>
      <c r="H16" s="588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88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88"/>
      <c r="D20" s="588"/>
      <c r="E20" s="588"/>
      <c r="F20" s="588"/>
      <c r="G20" s="588"/>
      <c r="H20" s="588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516" priority="70" stopIfTrue="1">
      <formula>TIPOORCAMENTO="Licitado"</formula>
    </cfRule>
  </conditionalFormatting>
  <conditionalFormatting sqref="C18:G18 E22:E24">
    <cfRule type="expression" dxfId="515" priority="71" stopIfTrue="1">
      <formula>TIPOORCAMENTO&lt;&gt;"Licitado"</formula>
    </cfRule>
  </conditionalFormatting>
  <conditionalFormatting sqref="C22">
    <cfRule type="expression" dxfId="514" priority="73" stopIfTrue="1">
      <formula>OR(TIPOORCAMENTO&lt;&gt;"Licitado",ACOMPANHAMENTO&lt;&gt;"PLE")</formula>
    </cfRule>
  </conditionalFormatting>
  <conditionalFormatting sqref="G22">
    <cfRule type="expression" dxfId="513" priority="74" stopIfTrue="1">
      <formula>OR(TIPOORCAMENTO&lt;&gt;"Licitado",ACOMPANHAMENTO&lt;&gt;"BM")</formula>
    </cfRule>
  </conditionalFormatting>
  <conditionalFormatting sqref="B16:H16 B20:H20">
    <cfRule type="expression" dxfId="512" priority="599" stopIfTrue="1">
      <formula>$O$3&lt;&gt;2</formula>
    </cfRule>
  </conditionalFormatting>
  <conditionalFormatting sqref="B8:H8">
    <cfRule type="expression" dxfId="511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8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22" sqref="A22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IF(AUTOEVENTO="Manual",IF(OFFSET(EVENTOS!$F$14,PLE!$B1,0)&gt;0,"F",""),IF(PLE!B1&lt;=MAX(CÁLCULO!$M$15:$M$52),"F",""))</f>
        <v>#REF!</v>
      </c>
      <c r="B1" s="286" t="e">
        <f ca="1">OFFSET(B1,-1,0)+1</f>
        <v>#REF!</v>
      </c>
      <c r="C1" s="657" t="e">
        <f ca="1">IF(AUTOEVENTO="Manual",IF($B1&lt;&gt;1,OFFSET(EVENTOS!$D$14,$B1,0),0),IF(B1&lt;=MAX(CÁLCULO!$M$15:$M$52),VLOOKUP($B1,CÁLCULO!$M$15:$N$52,2,FALSE),0))</f>
        <v>#REF!</v>
      </c>
      <c r="D1" s="657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593" t="s">
        <v>141</v>
      </c>
      <c r="AE3" s="593"/>
      <c r="AF3" s="593"/>
    </row>
    <row r="4" spans="1:33" ht="15.75" x14ac:dyDescent="0.2">
      <c r="B4" s="83"/>
      <c r="C4" s="83"/>
      <c r="H4" s="84" t="str">
        <f>import.recurso</f>
        <v>OGU</v>
      </c>
      <c r="AD4" s="594" t="s">
        <v>144</v>
      </c>
      <c r="AE4" s="594"/>
      <c r="AF4" s="594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58" t="str">
        <f>IF(TIPOORCAMENTO="Licitado","Nº CTEF","")</f>
        <v/>
      </c>
      <c r="AF6" s="658"/>
    </row>
    <row r="7" spans="1:33" x14ac:dyDescent="0.2">
      <c r="B7" s="644">
        <f>Import.CR</f>
        <v>0</v>
      </c>
      <c r="C7" s="644"/>
      <c r="D7" s="236">
        <f>Import.SICONV</f>
        <v>0</v>
      </c>
      <c r="E7" s="43"/>
      <c r="H7" s="654" t="str">
        <f>Import.Proponente</f>
        <v>Prefeitura Municipal de Caçapava do Sul</v>
      </c>
      <c r="I7" s="654"/>
      <c r="J7" s="654"/>
      <c r="K7" s="654"/>
      <c r="L7" s="654"/>
      <c r="M7" s="654"/>
      <c r="N7" s="654"/>
      <c r="O7" s="644" t="str">
        <f>Import.Apelido</f>
        <v>Calçamento da Rua General Neto</v>
      </c>
      <c r="P7" s="644"/>
      <c r="Q7" s="644"/>
      <c r="R7" s="644"/>
      <c r="S7" s="644"/>
      <c r="T7" s="644"/>
      <c r="U7" s="644"/>
      <c r="V7" s="644" t="str">
        <f>IF(TIPOORCAMENTO="Licitado",Import.empresa,Import.DescLote)</f>
        <v>Lote Único - Empreitada Preço Global</v>
      </c>
      <c r="W7" s="644"/>
      <c r="X7" s="644"/>
      <c r="Y7" s="644"/>
      <c r="Z7" s="644"/>
      <c r="AA7" s="644"/>
      <c r="AB7" s="644"/>
      <c r="AC7" s="644"/>
      <c r="AD7" s="644"/>
      <c r="AE7" s="659" t="str">
        <f>IF(TIPOORCAMENTO="Licitado",Import.CTEF,"")</f>
        <v/>
      </c>
      <c r="AF7" s="659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64">
        <v>1</v>
      </c>
      <c r="K9" s="664"/>
      <c r="M9" s="307" t="s">
        <v>285</v>
      </c>
      <c r="N9" s="665" t="str">
        <f ca="1">TEXT(IF(PLE.Medicao=1,Import.DataInicioObra,OFFSET($H$26,0,1+(PLE.Medicao-$I$27)*2-2)+1),"dd/mm/aaaa")&amp;" a "&amp;TEXT(OFFSET($H$26,0,1+(PLE.Medicao-$I$27)*2),"dd/mm/aaaa")</f>
        <v>01/07/2024 a 00/01/1900</v>
      </c>
      <c r="O9" s="665"/>
      <c r="P9" s="665"/>
      <c r="Q9" s="665"/>
      <c r="R9" s="665"/>
      <c r="S9" s="665"/>
      <c r="T9" s="665"/>
      <c r="U9" s="308"/>
      <c r="X9" s="307" t="s">
        <v>297</v>
      </c>
      <c r="Y9" s="669" t="e">
        <f ca="1">OFFSET($I$27,1+8*(ROUNDUP(($J$9-0)/((COLUMN($AG$14)-COLUMN($G$14)-1)/25*12),0)-1),ROUNDDOWN((($J$9-0)-OFFSET($I$27,8*(ROUNDUP(($J$9-0)/((COLUMN($AG$14)-COLUMN($G$14)-1)/25*12),0)-1),0))*(2+1/12),0))</f>
        <v>#DIV/0!</v>
      </c>
      <c r="Z9" s="669"/>
      <c r="AD9" s="307" t="s">
        <v>298</v>
      </c>
      <c r="AE9" s="669" t="e">
        <f ca="1">OFFSET($I$27,3+8*(ROUNDUP(($J$9-0)/((COLUMN($AG$14)-COLUMN($G$14)-1)/25*12),0)-1),ROUNDDOWN((($J$9-0)-OFFSET($I$27,8*(ROUNDUP(($J$9-0)/((COLUMN($AG$14)-COLUMN($G$14)-1)/25*12),0)-1),0))*(2+1/12),0))</f>
        <v>#DIV/0!</v>
      </c>
      <c r="AF9" s="669"/>
    </row>
    <row r="11" spans="1:33" ht="65.25" customHeight="1" x14ac:dyDescent="0.2">
      <c r="A11" s="290" t="s">
        <v>292</v>
      </c>
      <c r="C11" s="666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66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01 (Primeiros 79,75m)</v>
      </c>
      <c r="J11" s="292" t="str">
        <f ca="1">IF(J$12&gt;CÁLCULO.NúmeroDeFrentes,"",OFFSET(CÁLCULO!$P$12,0,J$12))</f>
        <v>TRECHO 02 (últimos 79,75m)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56" t="s">
        <v>268</v>
      </c>
      <c r="C12" s="656" t="s">
        <v>293</v>
      </c>
      <c r="D12" s="656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56"/>
      <c r="C13" s="656"/>
      <c r="D13" s="656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61" t="s">
        <v>271</v>
      </c>
      <c r="D15" s="661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IF(AUTOEVENTO="Manual",IF(OFFSET(EVENTOS!$F$14,PLE!$B16,0)&gt;0,"F",""),IF(PLE!B16&lt;=MAX(CÁLCULO!$M$15:$M$52),"F",""))</f>
        <v/>
      </c>
      <c r="B16" s="286">
        <f ca="1">OFFSET(B16,-1,0)+1</f>
        <v>2</v>
      </c>
      <c r="C16" s="657" t="str">
        <f ca="1">IF(AUTOEVENTO="Manual",IF($B16&lt;&gt;1,OFFSET(EVENTOS!$D$14,$B16,0),0),IF(B16&lt;=MAX(CÁLCULO!$M$15:$M$52),VLOOKUP($B16,CÁLCULO!$M$15:$N$52,2,FALSE),0))</f>
        <v>Serviços Preliminares</v>
      </c>
      <c r="D16" s="657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IF(AUTOEVENTO="Manual",IF(OFFSET(EVENTOS!$F$14,PLE!$B17,0)&gt;0,"F",""),IF(PLE!B17&lt;=MAX(CÁLCULO!$M$15:$M$52),"F",""))</f>
        <v/>
      </c>
      <c r="B17" s="286">
        <f ca="1">OFFSET(B17,-1,0)+1</f>
        <v>3</v>
      </c>
      <c r="C17" s="657" t="str">
        <f ca="1">IF(AUTOEVENTO="Manual",IF($B17&lt;&gt;1,OFFSET(EVENTOS!$D$14,$B17,0),0),IF(B17&lt;=MAX(CÁLCULO!$M$15:$M$52),VLOOKUP($B17,CÁLCULO!$M$15:$N$52,2,FALSE),0))</f>
        <v xml:space="preserve">Terraplanagem </v>
      </c>
      <c r="D17" s="657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IF(AUTOEVENTO="Manual",IF(OFFSET(EVENTOS!$F$14,PLE!$B18,0)&gt;0,"F",""),IF(PLE!B18&lt;=MAX(CÁLCULO!$M$15:$M$52),"F",""))</f>
        <v/>
      </c>
      <c r="B18" s="286">
        <f ca="1">OFFSET(B18,-1,0)+1</f>
        <v>4</v>
      </c>
      <c r="C18" s="657" t="str">
        <f ca="1">IF(AUTOEVENTO="Manual",IF($B18&lt;&gt;1,OFFSET(EVENTOS!$D$14,$B18,0),0),IF(B18&lt;=MAX(CÁLCULO!$M$15:$M$52),VLOOKUP($B18,CÁLCULO!$M$15:$N$52,2,FALSE),0))</f>
        <v>Pavimantação - Pista</v>
      </c>
      <c r="D18" s="657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81" customFormat="1" x14ac:dyDescent="0.2">
      <c r="A19" s="7" t="str">
        <f ca="1">IF(AUTOEVENTO="Manual",IF(OFFSET(EVENTOS!$F$14,PLE!$B19,0)&gt;0,"F",""),IF(PLE!B19&lt;=MAX(CÁLCULO!$M$15:$M$52),"F",""))</f>
        <v/>
      </c>
      <c r="B19" s="286">
        <f ca="1">OFFSET(B19,-1,0)+1</f>
        <v>5</v>
      </c>
      <c r="C19" s="657" t="str">
        <f ca="1">IF(AUTOEVENTO="Manual",IF($B19&lt;&gt;1,OFFSET(EVENTOS!$D$14,$B19,0),0),IF(B19&lt;=MAX(CÁLCULO!$M$15:$M$52),VLOOKUP($B19,CÁLCULO!$M$15:$N$52,2,FALSE),0))</f>
        <v>Recompisição de drenagem</v>
      </c>
      <c r="D19" s="657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s="577" customFormat="1" x14ac:dyDescent="0.2">
      <c r="A20" s="7" t="str">
        <f ca="1">IF(AUTOEVENTO="Manual",IF(OFFSET(EVENTOS!$F$14,PLE!$B20,0)&gt;0,"F",""),IF(PLE!B20&lt;=MAX(CÁLCULO!$M$15:$M$52),"F",""))</f>
        <v/>
      </c>
      <c r="B20" s="286">
        <f ca="1">OFFSET(B20,-1,0)+1</f>
        <v>6</v>
      </c>
      <c r="C20" s="657" t="str">
        <f ca="1">IF(AUTOEVENTO="Manual",IF($B20&lt;&gt;1,OFFSET(EVENTOS!$D$14,$B20,0),0),IF(B20&lt;=MAX(CÁLCULO!$M$15:$M$52),VLOOKUP($B20,CÁLCULO!$M$15:$N$52,2,FALSE),0))</f>
        <v>Passeio Público</v>
      </c>
      <c r="D20" s="657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s="573" customFormat="1" x14ac:dyDescent="0.2">
      <c r="A21" s="7" t="str">
        <f ca="1">IF(AUTOEVENTO="Manual",IF(OFFSET(EVENTOS!$F$14,PLE!$B21,0)&gt;0,"F",""),IF(PLE!B21&lt;=MAX(CÁLCULO!$M$15:$M$52),"F",""))</f>
        <v/>
      </c>
      <c r="B21" s="286">
        <f t="shared" ref="B21" ca="1" si="1">OFFSET(B21,-1,0)+1</f>
        <v>7</v>
      </c>
      <c r="C21" s="657" t="str">
        <f ca="1">IF(AUTOEVENTO="Manual",IF($B21&lt;&gt;1,OFFSET(EVENTOS!$D$14,$B21,0),0),IF(B21&lt;=MAX(CÁLCULO!$M$15:$M$52),VLOOKUP($B21,CÁLCULO!$M$15:$N$52,2,FALSE),0))</f>
        <v xml:space="preserve">Sinalização Vertical </v>
      </c>
      <c r="D21" s="657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s="585" customFormat="1" x14ac:dyDescent="0.2">
      <c r="A22" s="7" t="str">
        <f ca="1">IF(AUTOEVENTO="Manual",IF(OFFSET(EVENTOS!$F$14,PLE!$B22,0)&gt;0,"F",""),IF(PLE!B22&lt;=MAX(CÁLCULO!$M$15:$M$52),"F",""))</f>
        <v/>
      </c>
      <c r="B22" s="286">
        <f ca="1">OFFSET(B22,-1,0)+1</f>
        <v>8</v>
      </c>
      <c r="C22" s="657" t="str">
        <f ca="1">IF(AUTOEVENTO="Manual",IF($B22&lt;&gt;1,OFFSET(EVENTOS!$D$14,$B22,0),0),IF(B22&lt;=MAX(CÁLCULO!$M$15:$M$52),VLOOKUP($B22,CÁLCULO!$M$15:$N$52,2,FALSE),0))</f>
        <v>Faixa elevada</v>
      </c>
      <c r="D22" s="657"/>
      <c r="F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</row>
    <row r="23" spans="1:32" ht="4.5" customHeight="1" x14ac:dyDescent="0.2">
      <c r="A23" s="7" t="s">
        <v>248</v>
      </c>
      <c r="B23" s="484"/>
      <c r="C23" s="485"/>
      <c r="D23" s="486"/>
      <c r="F23" s="138"/>
      <c r="H23" s="484"/>
      <c r="I23" s="485"/>
      <c r="J23" s="485"/>
      <c r="K23" s="485"/>
      <c r="L23" s="485"/>
      <c r="M23" s="485"/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6"/>
    </row>
    <row r="24" spans="1:32" x14ac:dyDescent="0.2">
      <c r="A24" s="7" t="s">
        <v>248</v>
      </c>
    </row>
    <row r="25" spans="1:32" x14ac:dyDescent="0.2">
      <c r="A25" s="7" t="s">
        <v>248</v>
      </c>
      <c r="I25" s="667" t="s">
        <v>300</v>
      </c>
      <c r="J25" s="667"/>
      <c r="K25" s="667"/>
      <c r="L25" s="667"/>
      <c r="M25" s="667"/>
      <c r="N25" s="667"/>
      <c r="O25" s="667"/>
      <c r="P25" s="667"/>
      <c r="Q25" s="667"/>
      <c r="R25" s="667"/>
      <c r="S25" s="667"/>
      <c r="T25" s="667"/>
      <c r="U25" s="667"/>
      <c r="V25" s="667"/>
      <c r="W25" s="667"/>
      <c r="X25" s="667"/>
      <c r="Y25" s="667"/>
      <c r="Z25" s="667"/>
      <c r="AA25" s="667"/>
      <c r="AB25" s="667"/>
      <c r="AC25" s="667"/>
      <c r="AD25" s="667"/>
      <c r="AE25" s="667"/>
      <c r="AF25" s="667"/>
    </row>
    <row r="26" spans="1:32" x14ac:dyDescent="0.2">
      <c r="A26" s="7" t="s">
        <v>248</v>
      </c>
      <c r="I26" s="662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660"/>
      <c r="Y26" s="660"/>
      <c r="Z26" s="660"/>
      <c r="AA26" s="660"/>
      <c r="AB26" s="660"/>
      <c r="AC26" s="660"/>
      <c r="AD26" s="660"/>
      <c r="AE26" s="660"/>
      <c r="AF26" s="668"/>
    </row>
    <row r="27" spans="1:32" x14ac:dyDescent="0.2">
      <c r="A27" s="7" t="s">
        <v>248</v>
      </c>
      <c r="D27" s="309" t="s">
        <v>301</v>
      </c>
      <c r="I27" s="663">
        <f>IF(PLE.Medicao&lt;=12,1,TRUNC((PLE.Medicao - 2)/11,0) * 11 + 1)</f>
        <v>1</v>
      </c>
      <c r="J27" s="663"/>
      <c r="K27" s="663">
        <f>I27+1</f>
        <v>2</v>
      </c>
      <c r="L27" s="663"/>
      <c r="M27" s="663">
        <f>K27+1</f>
        <v>3</v>
      </c>
      <c r="N27" s="663"/>
      <c r="O27" s="663">
        <f>M27+1</f>
        <v>4</v>
      </c>
      <c r="P27" s="663"/>
      <c r="Q27" s="663">
        <f>O27+1</f>
        <v>5</v>
      </c>
      <c r="R27" s="663"/>
      <c r="S27" s="663">
        <f>Q27+1</f>
        <v>6</v>
      </c>
      <c r="T27" s="663"/>
      <c r="U27" s="663">
        <f>S27+1</f>
        <v>7</v>
      </c>
      <c r="V27" s="663"/>
      <c r="W27" s="663">
        <f>U27+1</f>
        <v>8</v>
      </c>
      <c r="X27" s="663"/>
      <c r="Y27" s="663">
        <f>W27+1</f>
        <v>9</v>
      </c>
      <c r="Z27" s="663"/>
      <c r="AA27" s="663">
        <f>Y27+1</f>
        <v>10</v>
      </c>
      <c r="AB27" s="663"/>
      <c r="AC27" s="663">
        <f>AA27+1</f>
        <v>11</v>
      </c>
      <c r="AD27" s="663"/>
      <c r="AE27" s="663">
        <f>AC27+1</f>
        <v>12</v>
      </c>
      <c r="AF27" s="663"/>
    </row>
    <row r="28" spans="1:32" x14ac:dyDescent="0.2">
      <c r="A28" s="7" t="s">
        <v>248</v>
      </c>
      <c r="D28" s="675" t="s">
        <v>285</v>
      </c>
      <c r="H28" s="310" t="s">
        <v>302</v>
      </c>
      <c r="I28" s="677" t="e">
        <f ca="1">ROUND(I29,2)/ORÇAMENTO!$X$15</f>
        <v>#DIV/0!</v>
      </c>
      <c r="J28" s="677"/>
      <c r="K28" s="673" t="e">
        <f ca="1">ROUND(K29,2)/ORÇAMENTO!$X$15</f>
        <v>#DIV/0!</v>
      </c>
      <c r="L28" s="673"/>
      <c r="M28" s="671" t="e">
        <f ca="1">ROUND(M29,2)/ORÇAMENTO!$X$15</f>
        <v>#DIV/0!</v>
      </c>
      <c r="N28" s="671"/>
      <c r="O28" s="673" t="e">
        <f ca="1">ROUND(O29,2)/ORÇAMENTO!$X$15</f>
        <v>#DIV/0!</v>
      </c>
      <c r="P28" s="673"/>
      <c r="Q28" s="671" t="e">
        <f ca="1">ROUND(Q29,2)/ORÇAMENTO!$X$15</f>
        <v>#DIV/0!</v>
      </c>
      <c r="R28" s="671"/>
      <c r="S28" s="673" t="e">
        <f ca="1">ROUND(S29,2)/ORÇAMENTO!$X$15</f>
        <v>#DIV/0!</v>
      </c>
      <c r="T28" s="673"/>
      <c r="U28" s="671" t="e">
        <f ca="1">ROUND(U29,2)/ORÇAMENTO!$X$15</f>
        <v>#DIV/0!</v>
      </c>
      <c r="V28" s="671"/>
      <c r="W28" s="673" t="e">
        <f ca="1">ROUND(W29,2)/ORÇAMENTO!$X$15</f>
        <v>#DIV/0!</v>
      </c>
      <c r="X28" s="673"/>
      <c r="Y28" s="671" t="e">
        <f ca="1">ROUND(Y29,2)/ORÇAMENTO!$X$15</f>
        <v>#DIV/0!</v>
      </c>
      <c r="Z28" s="671"/>
      <c r="AA28" s="673" t="e">
        <f ca="1">ROUND(AA29,2)/ORÇAMENTO!$X$15</f>
        <v>#DIV/0!</v>
      </c>
      <c r="AB28" s="673"/>
      <c r="AC28" s="671" t="e">
        <f ca="1">ROUND(AC29,2)/ORÇAMENTO!$X$15</f>
        <v>#DIV/0!</v>
      </c>
      <c r="AD28" s="671"/>
      <c r="AE28" s="673" t="e">
        <f ca="1">ROUND(AE29,2)/ORÇAMENTO!$X$15</f>
        <v>#DIV/0!</v>
      </c>
      <c r="AF28" s="673"/>
    </row>
    <row r="29" spans="1:32" x14ac:dyDescent="0.2">
      <c r="A29" s="7" t="s">
        <v>248</v>
      </c>
      <c r="D29" s="675"/>
      <c r="H29" s="12" t="s">
        <v>303</v>
      </c>
      <c r="I29" s="670" t="e">
        <f ca="1">IF(I27=1,I31,ROUND(I31,2)-ROUND(SUMIF(CÁLCULO!$AX$15:$BH$52,"&lt;="&amp;PLE!I27-1,CÁLCULO!$AB$15:$AL$52)*(1+CÁLCULO.TotalAdmLocal/(ORÇAMENTO!$X$15-CÁLCULO.TotalAdmLocal)),2))</f>
        <v>#DIV/0!</v>
      </c>
      <c r="J29" s="670"/>
      <c r="K29" s="670" t="e">
        <f ca="1">ROUND(K31,2)-ROUND(I31,2)</f>
        <v>#DIV/0!</v>
      </c>
      <c r="L29" s="670"/>
      <c r="M29" s="672" t="e">
        <f ca="1">ROUND(M31,2)-ROUND(K31,2)</f>
        <v>#DIV/0!</v>
      </c>
      <c r="N29" s="672"/>
      <c r="O29" s="670" t="e">
        <f ca="1">ROUND(O31,2)-ROUND(M31,2)</f>
        <v>#DIV/0!</v>
      </c>
      <c r="P29" s="670"/>
      <c r="Q29" s="672" t="e">
        <f ca="1">ROUND(Q31,2)-ROUND(O31,2)</f>
        <v>#DIV/0!</v>
      </c>
      <c r="R29" s="672"/>
      <c r="S29" s="670" t="e">
        <f ca="1">ROUND(S31,2)-ROUND(Q31,2)</f>
        <v>#DIV/0!</v>
      </c>
      <c r="T29" s="670"/>
      <c r="U29" s="672" t="e">
        <f ca="1">ROUND(U31,2)-ROUND(S31,2)</f>
        <v>#DIV/0!</v>
      </c>
      <c r="V29" s="672"/>
      <c r="W29" s="670" t="e">
        <f ca="1">ROUND(W31,2)-ROUND(U31,2)</f>
        <v>#DIV/0!</v>
      </c>
      <c r="X29" s="670"/>
      <c r="Y29" s="672" t="e">
        <f ca="1">ROUND(Y31,2)-ROUND(W31,2)</f>
        <v>#DIV/0!</v>
      </c>
      <c r="Z29" s="672"/>
      <c r="AA29" s="670" t="e">
        <f ca="1">ROUND(AA31,2)-ROUND(Y31,2)</f>
        <v>#DIV/0!</v>
      </c>
      <c r="AB29" s="670"/>
      <c r="AC29" s="672" t="e">
        <f ca="1">ROUND(AC31,2)-ROUND(AA31,2)</f>
        <v>#DIV/0!</v>
      </c>
      <c r="AD29" s="672"/>
      <c r="AE29" s="670" t="e">
        <f ca="1">ROUND(AE31,2)-ROUND(AC31,2)</f>
        <v>#DIV/0!</v>
      </c>
      <c r="AF29" s="670"/>
    </row>
    <row r="30" spans="1:32" x14ac:dyDescent="0.2">
      <c r="A30" s="7" t="s">
        <v>248</v>
      </c>
      <c r="D30" s="675" t="s">
        <v>289</v>
      </c>
      <c r="H30" s="310" t="s">
        <v>302</v>
      </c>
      <c r="I30" s="676" t="e">
        <f ca="1">ROUND(I31,2)/ORÇAMENTO!$X$15</f>
        <v>#DIV/0!</v>
      </c>
      <c r="J30" s="676"/>
      <c r="K30" s="674" t="e">
        <f ca="1">ROUND(K31,2)/ORÇAMENTO!$X$15</f>
        <v>#DIV/0!</v>
      </c>
      <c r="L30" s="674"/>
      <c r="M30" s="678" t="e">
        <f ca="1">ROUND(M31,2)/ORÇAMENTO!$X$15</f>
        <v>#DIV/0!</v>
      </c>
      <c r="N30" s="678"/>
      <c r="O30" s="674" t="e">
        <f ca="1">ROUND(O31,2)/ORÇAMENTO!$X$15</f>
        <v>#DIV/0!</v>
      </c>
      <c r="P30" s="674"/>
      <c r="Q30" s="678" t="e">
        <f ca="1">ROUND(Q31,2)/ORÇAMENTO!$X$15</f>
        <v>#DIV/0!</v>
      </c>
      <c r="R30" s="678"/>
      <c r="S30" s="674" t="e">
        <f ca="1">ROUND(S31,2)/ORÇAMENTO!$X$15</f>
        <v>#DIV/0!</v>
      </c>
      <c r="T30" s="674"/>
      <c r="U30" s="678" t="e">
        <f ca="1">ROUND(U31,2)/ORÇAMENTO!$X$15</f>
        <v>#DIV/0!</v>
      </c>
      <c r="V30" s="678"/>
      <c r="W30" s="674" t="e">
        <f ca="1">ROUND(W31,2)/ORÇAMENTO!$X$15</f>
        <v>#DIV/0!</v>
      </c>
      <c r="X30" s="674"/>
      <c r="Y30" s="678" t="e">
        <f ca="1">ROUND(Y31,2)/ORÇAMENTO!$X$15</f>
        <v>#DIV/0!</v>
      </c>
      <c r="Z30" s="678"/>
      <c r="AA30" s="674" t="e">
        <f ca="1">ROUND(AA31,2)/ORÇAMENTO!$X$15</f>
        <v>#DIV/0!</v>
      </c>
      <c r="AB30" s="674"/>
      <c r="AC30" s="678" t="e">
        <f ca="1">ROUND(AC31,2)/ORÇAMENTO!$X$15</f>
        <v>#DIV/0!</v>
      </c>
      <c r="AD30" s="678"/>
      <c r="AE30" s="674" t="e">
        <f ca="1">ROUND(AE31,2)/ORÇAMENTO!$X$15</f>
        <v>#DIV/0!</v>
      </c>
      <c r="AF30" s="674"/>
    </row>
    <row r="31" spans="1:32" x14ac:dyDescent="0.2">
      <c r="A31" s="7" t="s">
        <v>248</v>
      </c>
      <c r="D31" s="675"/>
      <c r="H31" s="12" t="s">
        <v>303</v>
      </c>
      <c r="I31" s="679" t="e">
        <f ca="1">SUMIF(CÁLCULO!$AX$15:$BH$52,"&lt;="&amp;PLE!I27,CÁLCULO!$AB$15:$AL$52)*(1+CÁLCULO.TotalAdmLocal/(ORÇAMENTO!$X$15-CÁLCULO.TotalAdmLocal))</f>
        <v>#DIV/0!</v>
      </c>
      <c r="J31" s="679"/>
      <c r="K31" s="670" t="e">
        <f ca="1">SUMIF(CÁLCULO!$AX$15:$BH$52,"&lt;="&amp;PLE!K27,CÁLCULO!$AB$15:$AL$52)*(1+CÁLCULO.TotalAdmLocal/(ORÇAMENTO!$X$15-CÁLCULO.TotalAdmLocal))</f>
        <v>#DIV/0!</v>
      </c>
      <c r="L31" s="670"/>
      <c r="M31" s="672" t="e">
        <f ca="1">SUMIF(CÁLCULO!$AX$15:$BH$52,"&lt;="&amp;PLE!M27,CÁLCULO!$AB$15:$AL$52)*(1+CÁLCULO.TotalAdmLocal/(ORÇAMENTO!$X$15-CÁLCULO.TotalAdmLocal))</f>
        <v>#DIV/0!</v>
      </c>
      <c r="N31" s="672"/>
      <c r="O31" s="670" t="e">
        <f ca="1">SUMIF(CÁLCULO!$AX$15:$BH$52,"&lt;="&amp;PLE!O27,CÁLCULO!$AB$15:$AL$52)*(1+CÁLCULO.TotalAdmLocal/(ORÇAMENTO!$X$15-CÁLCULO.TotalAdmLocal))</f>
        <v>#DIV/0!</v>
      </c>
      <c r="P31" s="670"/>
      <c r="Q31" s="672" t="e">
        <f ca="1">SUMIF(CÁLCULO!$AX$15:$BH$52,"&lt;="&amp;PLE!Q27,CÁLCULO!$AB$15:$AL$52)*(1+CÁLCULO.TotalAdmLocal/(ORÇAMENTO!$X$15-CÁLCULO.TotalAdmLocal))</f>
        <v>#DIV/0!</v>
      </c>
      <c r="R31" s="672"/>
      <c r="S31" s="670" t="e">
        <f ca="1">SUMIF(CÁLCULO!$AX$15:$BH$52,"&lt;="&amp;PLE!S27,CÁLCULO!$AB$15:$AL$52)*(1+CÁLCULO.TotalAdmLocal/(ORÇAMENTO!$X$15-CÁLCULO.TotalAdmLocal))</f>
        <v>#DIV/0!</v>
      </c>
      <c r="T31" s="670"/>
      <c r="U31" s="672" t="e">
        <f ca="1">SUMIF(CÁLCULO!$AX$15:$BH$52,"&lt;="&amp;PLE!U27,CÁLCULO!$AB$15:$AL$52)*(1+CÁLCULO.TotalAdmLocal/(ORÇAMENTO!$X$15-CÁLCULO.TotalAdmLocal))</f>
        <v>#DIV/0!</v>
      </c>
      <c r="V31" s="672"/>
      <c r="W31" s="670" t="e">
        <f ca="1">SUMIF(CÁLCULO!$AX$15:$BH$52,"&lt;="&amp;PLE!W27,CÁLCULO!$AB$15:$AL$52)*(1+CÁLCULO.TotalAdmLocal/(ORÇAMENTO!$X$15-CÁLCULO.TotalAdmLocal))</f>
        <v>#DIV/0!</v>
      </c>
      <c r="X31" s="670"/>
      <c r="Y31" s="672" t="e">
        <f ca="1">SUMIF(CÁLCULO!$AX$15:$BH$52,"&lt;="&amp;PLE!Y27,CÁLCULO!$AB$15:$AL$52)*(1+CÁLCULO.TotalAdmLocal/(ORÇAMENTO!$X$15-CÁLCULO.TotalAdmLocal))</f>
        <v>#DIV/0!</v>
      </c>
      <c r="Z31" s="672"/>
      <c r="AA31" s="670" t="e">
        <f ca="1">SUMIF(CÁLCULO!$AX$15:$BH$52,"&lt;="&amp;PLE!AA27,CÁLCULO!$AB$15:$AL$52)*(1+CÁLCULO.TotalAdmLocal/(ORÇAMENTO!$X$15-CÁLCULO.TotalAdmLocal))</f>
        <v>#DIV/0!</v>
      </c>
      <c r="AB31" s="670"/>
      <c r="AC31" s="672" t="e">
        <f ca="1">SUMIF(CÁLCULO!$AX$15:$BH$52,"&lt;="&amp;PLE!AC27,CÁLCULO!$AB$15:$AL$52)*(1+CÁLCULO.TotalAdmLocal/(ORÇAMENTO!$X$15-CÁLCULO.TotalAdmLocal))</f>
        <v>#DIV/0!</v>
      </c>
      <c r="AD31" s="672"/>
      <c r="AE31" s="670" t="e">
        <f ca="1">SUMIF(CÁLCULO!$AX$15:$BH$52,"&lt;="&amp;PLE!AE27,CÁLCULO!$AB$15:$AL$52)*(1+CÁLCULO.TotalAdmLocal/(ORÇAMENTO!$X$15-CÁLCULO.TotalAdmLocal))</f>
        <v>#DIV/0!</v>
      </c>
      <c r="AF31" s="670"/>
    </row>
    <row r="32" spans="1:32" ht="20.25" customHeight="1" x14ac:dyDescent="0.2">
      <c r="A32" s="7" t="s">
        <v>248</v>
      </c>
    </row>
    <row r="33" spans="1:30" ht="15" x14ac:dyDescent="0.2">
      <c r="A33" s="7" t="s">
        <v>248</v>
      </c>
      <c r="B33" s="627" t="str">
        <f>Import.Município</f>
        <v>Caçapava do Sul/RS</v>
      </c>
      <c r="C33" s="627"/>
      <c r="D33" s="627"/>
      <c r="U33" s="145"/>
      <c r="V33" s="145"/>
      <c r="W33" s="145"/>
      <c r="X33" s="145"/>
      <c r="Y33" s="193"/>
      <c r="Z33" s="193"/>
      <c r="AA33" s="193"/>
      <c r="AB33" s="193"/>
      <c r="AC33" s="193"/>
      <c r="AD33" s="193"/>
    </row>
    <row r="34" spans="1:30" x14ac:dyDescent="0.2">
      <c r="A34" s="7" t="s">
        <v>248</v>
      </c>
      <c r="B34" s="10" t="s">
        <v>190</v>
      </c>
      <c r="U34" s="194" t="s">
        <v>304</v>
      </c>
    </row>
    <row r="35" spans="1:30" x14ac:dyDescent="0.2">
      <c r="A35" s="7" t="s">
        <v>248</v>
      </c>
      <c r="I35" s="80"/>
      <c r="U35" s="78" t="s">
        <v>109</v>
      </c>
      <c r="W35" s="311">
        <f t="array" ref="W35:W38">Import.RespFiscalização</f>
        <v>0</v>
      </c>
    </row>
    <row r="36" spans="1:30" x14ac:dyDescent="0.2">
      <c r="A36" s="7" t="s">
        <v>248</v>
      </c>
      <c r="B36" s="622">
        <f ca="1">DADOS!$F$47</f>
        <v>45518</v>
      </c>
      <c r="C36" s="622"/>
      <c r="D36" s="622"/>
      <c r="I36" s="80"/>
      <c r="U36" s="78" t="s">
        <v>128</v>
      </c>
      <c r="W36" s="311">
        <v>0</v>
      </c>
    </row>
    <row r="37" spans="1:30" x14ac:dyDescent="0.2">
      <c r="A37" s="7" t="s">
        <v>248</v>
      </c>
      <c r="B37" s="146" t="s">
        <v>191</v>
      </c>
      <c r="C37" s="1"/>
      <c r="D37" s="1"/>
      <c r="I37" s="80"/>
      <c r="U37" s="78" t="s">
        <v>110</v>
      </c>
      <c r="W37" s="311">
        <v>0</v>
      </c>
    </row>
    <row r="38" spans="1:30" x14ac:dyDescent="0.2">
      <c r="U38" s="78" t="s">
        <v>111</v>
      </c>
      <c r="W38" s="13">
        <v>0</v>
      </c>
    </row>
  </sheetData>
  <sheetProtection password="BD1F" sheet="1" objects="1" scenarios="1" autoFilter="0"/>
  <autoFilter ref="A13:A37"/>
  <mergeCells count="101">
    <mergeCell ref="Q28:R28"/>
    <mergeCell ref="O29:P29"/>
    <mergeCell ref="Q29:R29"/>
    <mergeCell ref="W29:X29"/>
    <mergeCell ref="U27:V27"/>
    <mergeCell ref="Y27:Z27"/>
    <mergeCell ref="AA27:AB27"/>
    <mergeCell ref="AE31:AF31"/>
    <mergeCell ref="Q31:R31"/>
    <mergeCell ref="Y31:Z31"/>
    <mergeCell ref="AA31:AB31"/>
    <mergeCell ref="AE30:AF30"/>
    <mergeCell ref="Q30:R30"/>
    <mergeCell ref="S31:T31"/>
    <mergeCell ref="W31:X31"/>
    <mergeCell ref="W30:X30"/>
    <mergeCell ref="U30:V30"/>
    <mergeCell ref="Y30:Z30"/>
    <mergeCell ref="U31:V31"/>
    <mergeCell ref="S28:T28"/>
    <mergeCell ref="Y29:Z29"/>
    <mergeCell ref="U29:V29"/>
    <mergeCell ref="AA28:AB28"/>
    <mergeCell ref="U28:V28"/>
    <mergeCell ref="B36:D36"/>
    <mergeCell ref="B33:D33"/>
    <mergeCell ref="D30:D31"/>
    <mergeCell ref="M30:N30"/>
    <mergeCell ref="M31:N31"/>
    <mergeCell ref="I31:J31"/>
    <mergeCell ref="O30:P30"/>
    <mergeCell ref="AC31:AD31"/>
    <mergeCell ref="AC30:AD30"/>
    <mergeCell ref="AA30:AB30"/>
    <mergeCell ref="D28:D29"/>
    <mergeCell ref="K31:L31"/>
    <mergeCell ref="K30:L30"/>
    <mergeCell ref="I30:J30"/>
    <mergeCell ref="K29:L29"/>
    <mergeCell ref="I29:J29"/>
    <mergeCell ref="K28:L28"/>
    <mergeCell ref="I28:J28"/>
    <mergeCell ref="O31:P31"/>
    <mergeCell ref="M29:N29"/>
    <mergeCell ref="O28:P28"/>
    <mergeCell ref="M28:N28"/>
    <mergeCell ref="AE29:AF29"/>
    <mergeCell ref="AC28:AD28"/>
    <mergeCell ref="AC29:AD29"/>
    <mergeCell ref="AE28:AF28"/>
    <mergeCell ref="AC27:AD27"/>
    <mergeCell ref="S30:T30"/>
    <mergeCell ref="AA29:AB29"/>
    <mergeCell ref="S29:T29"/>
    <mergeCell ref="Y28:Z28"/>
    <mergeCell ref="W28:X28"/>
    <mergeCell ref="Q27:R27"/>
    <mergeCell ref="J9:K9"/>
    <mergeCell ref="N9:T9"/>
    <mergeCell ref="C11:D11"/>
    <mergeCell ref="M27:N27"/>
    <mergeCell ref="O27:P27"/>
    <mergeCell ref="K26:L26"/>
    <mergeCell ref="I27:J27"/>
    <mergeCell ref="S27:T27"/>
    <mergeCell ref="Q26:R26"/>
    <mergeCell ref="S26:T26"/>
    <mergeCell ref="M26:N26"/>
    <mergeCell ref="I25:AF25"/>
    <mergeCell ref="AE26:AF26"/>
    <mergeCell ref="AC26:AD26"/>
    <mergeCell ref="W26:X26"/>
    <mergeCell ref="AA26:AB26"/>
    <mergeCell ref="Y26:Z26"/>
    <mergeCell ref="Y9:Z9"/>
    <mergeCell ref="AE9:AF9"/>
    <mergeCell ref="AE27:AF27"/>
    <mergeCell ref="U26:V26"/>
    <mergeCell ref="K27:L27"/>
    <mergeCell ref="W27:X27"/>
    <mergeCell ref="B12:B13"/>
    <mergeCell ref="O26:P26"/>
    <mergeCell ref="C18:D18"/>
    <mergeCell ref="C15:D15"/>
    <mergeCell ref="C16:D16"/>
    <mergeCell ref="C12:D13"/>
    <mergeCell ref="C17:D17"/>
    <mergeCell ref="I26:J26"/>
    <mergeCell ref="C21:D21"/>
    <mergeCell ref="C20:D20"/>
    <mergeCell ref="C19:D19"/>
    <mergeCell ref="C22:D22"/>
    <mergeCell ref="C1:D1"/>
    <mergeCell ref="AD3:AF3"/>
    <mergeCell ref="AD4:AF4"/>
    <mergeCell ref="AE6:AF6"/>
    <mergeCell ref="H7:N7"/>
    <mergeCell ref="O7:U7"/>
    <mergeCell ref="B7:C7"/>
    <mergeCell ref="AE7:AF7"/>
    <mergeCell ref="V7:AD7"/>
  </mergeCells>
  <phoneticPr fontId="38" type="noConversion"/>
  <conditionalFormatting sqref="F1:F2 F21">
    <cfRule type="expression" dxfId="127" priority="419" stopIfTrue="1">
      <formula>IF(OR(ACOMPANHAMENTO="BM",F$12&gt;CÁLCULO.NúmeroDeFrentes),TRUE,PLE.ValorDoEvento=0)</formula>
    </cfRule>
    <cfRule type="cellIs" dxfId="126" priority="420" stopIfTrue="1" operator="equal">
      <formula>$J$9</formula>
    </cfRule>
  </conditionalFormatting>
  <conditionalFormatting sqref="I28:AF28">
    <cfRule type="expression" dxfId="125" priority="421" stopIfTrue="1">
      <formula>I27=$J$9</formula>
    </cfRule>
  </conditionalFormatting>
  <conditionalFormatting sqref="I29:AF29">
    <cfRule type="expression" dxfId="124" priority="422" stopIfTrue="1">
      <formula>I27=$J$9</formula>
    </cfRule>
  </conditionalFormatting>
  <conditionalFormatting sqref="I30:AF30">
    <cfRule type="expression" dxfId="123" priority="423" stopIfTrue="1">
      <formula>I27=$J$9</formula>
    </cfRule>
  </conditionalFormatting>
  <conditionalFormatting sqref="I31:AF31">
    <cfRule type="expression" dxfId="122" priority="424" stopIfTrue="1">
      <formula>I27=$J$9</formula>
    </cfRule>
  </conditionalFormatting>
  <conditionalFormatting sqref="H1:AF1 H21:AF21">
    <cfRule type="expression" dxfId="121" priority="436" stopIfTrue="1">
      <formula>IF(OR(ACOMPANHAMENTO="BM",TIPOORCAMENTO="Proposto",H$12&gt;CÁLCULO.NúmeroDeFrentes),TRUE,PLE.ValorDoEvento=0)</formula>
    </cfRule>
    <cfRule type="cellIs" dxfId="120" priority="437" stopIfTrue="1" operator="equal">
      <formula>$J$9</formula>
    </cfRule>
  </conditionalFormatting>
  <conditionalFormatting sqref="AE6:AE7">
    <cfRule type="expression" dxfId="119" priority="425" stopIfTrue="1">
      <formula>TIPOORCAMENTO&lt;&gt;"Licitado"</formula>
    </cfRule>
  </conditionalFormatting>
  <conditionalFormatting sqref="N9:T9">
    <cfRule type="expression" dxfId="118" priority="426" stopIfTrue="1">
      <formula>COLUMN(N9)&gt;COLUMN($AF$12)</formula>
    </cfRule>
    <cfRule type="expression" dxfId="117" priority="427" stopIfTrue="1">
      <formula>$N$9="DIGITE A DATA DA MEDIÇÃO"</formula>
    </cfRule>
  </conditionalFormatting>
  <conditionalFormatting sqref="I9:M9 U9:AF9">
    <cfRule type="expression" dxfId="116" priority="428" stopIfTrue="1">
      <formula>COLUMN(I9)&gt;COLUMN($AF$12)</formula>
    </cfRule>
  </conditionalFormatting>
  <conditionalFormatting sqref="F16:F17">
    <cfRule type="expression" dxfId="115" priority="25" stopIfTrue="1">
      <formula>IF(OR(ACOMPANHAMENTO="BM",F$12&gt;CÁLCULO.NúmeroDeFrentes),TRUE,PLE.ValorDoEvento=0)</formula>
    </cfRule>
    <cfRule type="cellIs" dxfId="114" priority="26" stopIfTrue="1" operator="equal">
      <formula>$J$9</formula>
    </cfRule>
  </conditionalFormatting>
  <conditionalFormatting sqref="H16:AF17">
    <cfRule type="expression" dxfId="113" priority="27" stopIfTrue="1">
      <formula>IF(OR(ACOMPANHAMENTO="BM",TIPOORCAMENTO="Proposto",H$12&gt;CÁLCULO.NúmeroDeFrentes),TRUE,PLE.ValorDoEvento=0)</formula>
    </cfRule>
    <cfRule type="cellIs" dxfId="112" priority="28" stopIfTrue="1" operator="equal">
      <formula>$J$9</formula>
    </cfRule>
  </conditionalFormatting>
  <conditionalFormatting sqref="F18">
    <cfRule type="expression" dxfId="111" priority="17" stopIfTrue="1">
      <formula>IF(OR(ACOMPANHAMENTO="BM",F$12&gt;CÁLCULO.NúmeroDeFrentes),TRUE,PLE.ValorDoEvento=0)</formula>
    </cfRule>
    <cfRule type="cellIs" dxfId="110" priority="18" stopIfTrue="1" operator="equal">
      <formula>$J$9</formula>
    </cfRule>
  </conditionalFormatting>
  <conditionalFormatting sqref="H18:AF18">
    <cfRule type="expression" dxfId="109" priority="19" stopIfTrue="1">
      <formula>IF(OR(ACOMPANHAMENTO="BM",TIPOORCAMENTO="Proposto",H$12&gt;CÁLCULO.NúmeroDeFrentes),TRUE,PLE.ValorDoEvento=0)</formula>
    </cfRule>
    <cfRule type="cellIs" dxfId="108" priority="20" stopIfTrue="1" operator="equal">
      <formula>$J$9</formula>
    </cfRule>
  </conditionalFormatting>
  <conditionalFormatting sqref="F20">
    <cfRule type="expression" dxfId="107" priority="9" stopIfTrue="1">
      <formula>IF(OR(ACOMPANHAMENTO="BM",F$12&gt;CÁLCULO.NúmeroDeFrentes),TRUE,PLE.ValorDoEvento=0)</formula>
    </cfRule>
    <cfRule type="cellIs" dxfId="106" priority="10" stopIfTrue="1" operator="equal">
      <formula>$J$9</formula>
    </cfRule>
  </conditionalFormatting>
  <conditionalFormatting sqref="H20:AF20">
    <cfRule type="expression" dxfId="105" priority="11" stopIfTrue="1">
      <formula>IF(OR(ACOMPANHAMENTO="BM",TIPOORCAMENTO="Proposto",H$12&gt;CÁLCULO.NúmeroDeFrentes),TRUE,PLE.ValorDoEvento=0)</formula>
    </cfRule>
    <cfRule type="cellIs" dxfId="104" priority="12" stopIfTrue="1" operator="equal">
      <formula>$J$9</formula>
    </cfRule>
  </conditionalFormatting>
  <conditionalFormatting sqref="F19">
    <cfRule type="expression" dxfId="103" priority="5" stopIfTrue="1">
      <formula>IF(OR(ACOMPANHAMENTO="BM",F$12&gt;CÁLCULO.NúmeroDeFrentes),TRUE,PLE.ValorDoEvento=0)</formula>
    </cfRule>
    <cfRule type="cellIs" dxfId="102" priority="6" stopIfTrue="1" operator="equal">
      <formula>$J$9</formula>
    </cfRule>
  </conditionalFormatting>
  <conditionalFormatting sqref="H19:AF19">
    <cfRule type="expression" dxfId="101" priority="7" stopIfTrue="1">
      <formula>IF(OR(ACOMPANHAMENTO="BM",TIPOORCAMENTO="Proposto",H$12&gt;CÁLCULO.NúmeroDeFrentes),TRUE,PLE.ValorDoEvento=0)</formula>
    </cfRule>
    <cfRule type="cellIs" dxfId="100" priority="8" stopIfTrue="1" operator="equal">
      <formula>$J$9</formula>
    </cfRule>
  </conditionalFormatting>
  <conditionalFormatting sqref="F22">
    <cfRule type="expression" dxfId="99" priority="1" stopIfTrue="1">
      <formula>IF(OR(ACOMPANHAMENTO="BM",F$12&gt;CÁLCULO.NúmeroDeFrentes),TRUE,PLE.ValorDoEvento=0)</formula>
    </cfRule>
    <cfRule type="cellIs" dxfId="98" priority="2" stopIfTrue="1" operator="equal">
      <formula>$J$9</formula>
    </cfRule>
  </conditionalFormatting>
  <conditionalFormatting sqref="H22:AF22">
    <cfRule type="expression" dxfId="97" priority="3" stopIfTrue="1">
      <formula>IF(OR(ACOMPANHAMENTO="BM",TIPOORCAMENTO="Proposto",H$12&gt;CÁLCULO.NúmeroDeFrentes),TRUE,PLE.ValorDoEvento=0)</formula>
    </cfRule>
    <cfRule type="cellIs" dxfId="96" priority="4" stopIfTrue="1" operator="equal">
      <formula>$J$9</formula>
    </cfRule>
  </conditionalFormatting>
  <dataValidations count="3">
    <dataValidation type="whole" operator="greaterThan" allowBlank="1" showErrorMessage="1" sqref="F1:F4 I3:AC4 J9:K9 F16:F22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2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595" t="s">
        <v>147</v>
      </c>
      <c r="E3" s="595"/>
      <c r="F3" s="89" t="s">
        <v>148</v>
      </c>
      <c r="G3" s="595" t="s">
        <v>149</v>
      </c>
      <c r="H3" s="595"/>
      <c r="I3" s="595"/>
      <c r="J3" s="680" t="s">
        <v>308</v>
      </c>
      <c r="K3" s="680"/>
      <c r="L3" s="680"/>
      <c r="M3" s="681" t="s">
        <v>309</v>
      </c>
      <c r="N3" s="681"/>
      <c r="O3" s="681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592">
        <f>Import.CR</f>
        <v>0</v>
      </c>
      <c r="E4" s="592"/>
      <c r="F4" s="57">
        <f>Import.SICONV</f>
        <v>0</v>
      </c>
      <c r="G4" s="592" t="str">
        <f>Import.Proponente</f>
        <v>Prefeitura Municipal de Caçapava do Sul</v>
      </c>
      <c r="H4" s="592"/>
      <c r="I4" s="592"/>
      <c r="J4" s="682" t="str">
        <f>Import.Município</f>
        <v>Caçapava do Sul/RS</v>
      </c>
      <c r="K4" s="682"/>
      <c r="L4" s="682"/>
      <c r="M4" s="681"/>
      <c r="N4" s="681"/>
      <c r="O4" s="681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595" t="s">
        <v>204</v>
      </c>
      <c r="E6" s="595"/>
      <c r="F6" s="595"/>
      <c r="G6" s="595"/>
      <c r="H6" s="595"/>
      <c r="I6" s="595"/>
      <c r="J6" s="595"/>
      <c r="K6" s="595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621" t="s">
        <v>211</v>
      </c>
      <c r="D7" s="592" t="str">
        <f>Import.Apelido</f>
        <v>Calçamento da Rua General Neto</v>
      </c>
      <c r="E7" s="592"/>
      <c r="F7" s="592"/>
      <c r="G7" s="592"/>
      <c r="H7" s="592"/>
      <c r="I7" s="592"/>
      <c r="J7" s="592"/>
      <c r="K7" s="592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621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621"/>
      <c r="G9" s="685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$52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85"/>
      <c r="I9" s="685"/>
      <c r="J9" s="685"/>
      <c r="K9" s="686" t="s">
        <v>315</v>
      </c>
      <c r="L9" s="318" t="str">
        <f>$L$13</f>
        <v>Repasse (R$)</v>
      </c>
      <c r="M9" s="318" t="s">
        <v>240</v>
      </c>
      <c r="AD9" s="683"/>
      <c r="AE9" s="683"/>
    </row>
    <row r="10" spans="1:31" ht="12.75" customHeight="1" x14ac:dyDescent="0.2">
      <c r="A10" s="687" t="s">
        <v>316</v>
      </c>
      <c r="C10" s="621"/>
      <c r="G10" s="685"/>
      <c r="H10" s="685"/>
      <c r="I10" s="685"/>
      <c r="J10" s="685"/>
      <c r="K10" s="686"/>
      <c r="L10" s="319">
        <f ca="1">Import.Repasse-L15</f>
        <v>0</v>
      </c>
      <c r="M10" s="320">
        <f ca="1">Import.Contrapartida-M15</f>
        <v>0</v>
      </c>
      <c r="Z10" s="634" t="s">
        <v>218</v>
      </c>
      <c r="AA10" s="634"/>
      <c r="AB10" s="634"/>
      <c r="AD10" s="683" t="s">
        <v>317</v>
      </c>
      <c r="AE10" s="683"/>
    </row>
    <row r="11" spans="1:31" ht="20.100000000000001" customHeight="1" x14ac:dyDescent="0.2">
      <c r="A11" s="687"/>
      <c r="C11" s="621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IF(NOT(ISBLANK(QCI.DescManual)),IF(QCI.Divisao="Calculado","Manual","SemiAuto"),IF(ISERROR(MATCH($A12,ORÇAMENTO!$E$15:$E$52,0)),"Branco","Automático"))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IF(OR($B12="Manual",$B12="SemiAuto"),QCI.DescManual,IF($B12="Automático",INDEX(ORÇAMENTO!$R$15:$R$52,MATCH($A12,ORÇAMENTO!$E$15:$E$52,0)),""))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IF($B12="Branco",0,IF(OR($B12="Manual",$B12="SemiAuto"),QCI.InvManual,INDEX(ORÇAMENTO!X$15:X$52,MATCH($A12,ORÇAMENTO!$E$15:$E$52,0))))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IF($B12="Branco",0,IF($B12="Manual",QCI.CPManual,IF($B12="SemiAuto",ROUND(QCI!$AA$3*QCI.InvManual,2),INDEX(ORÇAMENTO!$AA$15:$AA$52,MATCH($A12,ORÇAMENTO!$E$15:$E$52,0)))))</f>
        <v>0</v>
      </c>
      <c r="AB12">
        <f ca="1">IF($B12="Branco",0,IF($B12="Manual",QCI.OutrosManual,IF($B12="SemiAuto",0,INDEX(ORÇAMENTO!$AB$15:$AB$52,MATCH($A12,ORÇAMENTO!$E$15:$E$52,0)))))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IF(NOT(ISBLANK(QCI.DescManual)),IF(QCI.Divisao="Calculado","Manual","SemiAuto"),IF(ISERROR(MATCH($A14,ORÇAMENTO!$E$15:$E$52,0)),"Branco","Automático"))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IF(OR($B14="Manual",$B14="SemiAuto"),QCI.DescManual,IF($B14="Automático",INDEX(ORÇAMENTO!$R$15:$R$52,MATCH($A14,ORÇAMENTO!$E$15:$E$52,0)),""))</f>
        <v>CALÇAMENTO DA RUA GAL. NETO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IF($B14="Branco",0,IF(OR($B14="Manual",$B14="SemiAuto"),QCI.InvManual,INDEX(ORÇAMENTO!X$15:X$52,MATCH($A14,ORÇAMENTO!$E$15:$E$52,0))))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IF($B14="Branco",0,IF($B14="Manual",QCI.CPManual,IF($B14="SemiAuto",ROUND(QCI!$AA$3*QCI.InvManual,2),INDEX(ORÇAMENTO!$AA$15:$AA$52,MATCH($A14,ORÇAMENTO!$E$15:$E$52,0)))))</f>
        <v>0</v>
      </c>
      <c r="AB14">
        <f ca="1">IF($B14="Branco",0,IF($B14="Manual",QCI.OutrosManual,IF($B14="SemiAuto",0,INDEX(ORÇAMENTO!$AB$15:$AB$52,MATCH($A14,ORÇAMENTO!$E$15:$E$52,0)))))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84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84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25" t="s">
        <v>463</v>
      </c>
      <c r="E19" s="625"/>
      <c r="F19" s="625"/>
      <c r="G19" s="625"/>
      <c r="H19" s="625"/>
      <c r="I19" s="625"/>
      <c r="J19" s="625"/>
      <c r="K19" s="625"/>
      <c r="L19" s="625"/>
      <c r="M19" s="625"/>
      <c r="N19" s="625"/>
      <c r="O19" s="625"/>
    </row>
    <row r="20" spans="4:15" ht="12.75" customHeight="1" x14ac:dyDescent="0.2">
      <c r="D20" s="625"/>
      <c r="E20" s="625"/>
      <c r="F20" s="625"/>
      <c r="G20" s="625"/>
      <c r="H20" s="625"/>
      <c r="I20" s="625"/>
      <c r="J20" s="625"/>
      <c r="K20" s="625"/>
      <c r="L20" s="625"/>
      <c r="M20" s="625"/>
      <c r="N20" s="625"/>
      <c r="O20" s="625"/>
    </row>
    <row r="21" spans="4:15" ht="12.75" customHeight="1" x14ac:dyDescent="0.2"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  <c r="O21" s="625"/>
    </row>
    <row r="24" spans="4:15" ht="15" x14ac:dyDescent="0.2">
      <c r="D24" s="627" t="str">
        <f>Import.Município</f>
        <v>Caçapava do Sul/RS</v>
      </c>
      <c r="E24" s="627"/>
      <c r="F24" s="627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22">
        <f ca="1">DADOS!$F$25</f>
        <v>45518</v>
      </c>
      <c r="E27" s="622"/>
      <c r="F27" s="622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A10:A11"/>
    <mergeCell ref="Z10:AB10"/>
    <mergeCell ref="D27:F27"/>
    <mergeCell ref="D19:O21"/>
    <mergeCell ref="D24:F24"/>
    <mergeCell ref="D6:K6"/>
    <mergeCell ref="AD10:AE10"/>
    <mergeCell ref="K15:K16"/>
    <mergeCell ref="C7:C11"/>
    <mergeCell ref="G9:J10"/>
    <mergeCell ref="K9:K10"/>
    <mergeCell ref="AD9:AE9"/>
    <mergeCell ref="D7:K7"/>
    <mergeCell ref="D3:E3"/>
    <mergeCell ref="G3:I3"/>
    <mergeCell ref="J3:L3"/>
    <mergeCell ref="M3:O4"/>
    <mergeCell ref="D4:E4"/>
    <mergeCell ref="G4:I4"/>
    <mergeCell ref="J4:L4"/>
  </mergeCells>
  <phoneticPr fontId="38" type="noConversion"/>
  <conditionalFormatting sqref="T12:V12">
    <cfRule type="expression" dxfId="95" priority="161" stopIfTrue="1">
      <formula>OR($B12="Automático",$B12="Branco")</formula>
    </cfRule>
  </conditionalFormatting>
  <conditionalFormatting sqref="L12">
    <cfRule type="expression" dxfId="9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93" priority="163" stopIfTrue="1">
      <formula>OR($B12="Automático",$B12="Branco",$V12&lt;&gt;"Calculado")</formula>
    </cfRule>
  </conditionalFormatting>
  <conditionalFormatting sqref="M16">
    <cfRule type="expression" dxfId="92" priority="165" stopIfTrue="1">
      <formula>AND($G$9&lt;&gt;"",OR($M$16&lt;Import.CPMinPerc,$M$16&gt;Import.CPMaxPerc))</formula>
    </cfRule>
  </conditionalFormatting>
  <conditionalFormatting sqref="M15">
    <cfRule type="expression" dxfId="91" priority="166" stopIfTrue="1">
      <formula>AND($G$9&lt;&gt;"",$M$15&lt;Import.CPMinAbsoluta)</formula>
    </cfRule>
  </conditionalFormatting>
  <conditionalFormatting sqref="L10:M10">
    <cfRule type="cellIs" dxfId="90" priority="167" stopIfTrue="1" operator="lessThan">
      <formula>0</formula>
    </cfRule>
  </conditionalFormatting>
  <conditionalFormatting sqref="G12">
    <cfRule type="cellIs" dxfId="89" priority="168" stopIfTrue="1" operator="equal">
      <formula>"(digite a descrição aqui)"</formula>
    </cfRule>
  </conditionalFormatting>
  <conditionalFormatting sqref="T14:V14">
    <cfRule type="expression" dxfId="88" priority="1" stopIfTrue="1">
      <formula>OR($B14="Automático",$B14="Branco")</formula>
    </cfRule>
  </conditionalFormatting>
  <conditionalFormatting sqref="W14:X14">
    <cfRule type="expression" dxfId="87" priority="3" stopIfTrue="1">
      <formula>OR($B14="Automático",$B14="Branco",$V14&lt;&gt;"Calculado")</formula>
    </cfRule>
  </conditionalFormatting>
  <conditionalFormatting sqref="G14">
    <cfRule type="cellIs" dxfId="86" priority="4" stopIfTrue="1" operator="equal">
      <formula>"(digite a descrição aqui)"</formula>
    </cfRule>
  </conditionalFormatting>
  <conditionalFormatting sqref="L14">
    <cfRule type="expression" dxfId="8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6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48" sqref="A48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88" t="b">
        <v>0</v>
      </c>
      <c r="B3" s="688"/>
      <c r="E3" s="87"/>
    </row>
    <row r="4" spans="1:41" x14ac:dyDescent="0.2">
      <c r="D4" s="595" t="s">
        <v>149</v>
      </c>
      <c r="E4" s="595"/>
      <c r="F4" s="632" t="s">
        <v>147</v>
      </c>
      <c r="G4" s="632"/>
      <c r="H4" s="632"/>
      <c r="I4" s="151" t="s">
        <v>148</v>
      </c>
      <c r="J4" s="595" t="s">
        <v>204</v>
      </c>
      <c r="K4" s="595"/>
      <c r="L4" s="595"/>
      <c r="M4" s="595"/>
      <c r="N4" s="595"/>
      <c r="O4" s="153" t="s">
        <v>334</v>
      </c>
    </row>
    <row r="5" spans="1:41" ht="12.75" customHeight="1" x14ac:dyDescent="0.2">
      <c r="A5" t="s">
        <v>335</v>
      </c>
      <c r="D5" s="592" t="str">
        <f>Import.Proponente</f>
        <v>Prefeitura Municipal de Caçapava do Sul</v>
      </c>
      <c r="E5" s="592"/>
      <c r="F5" s="630">
        <f>Import.CR</f>
        <v>0</v>
      </c>
      <c r="G5" s="630"/>
      <c r="H5" s="630"/>
      <c r="I5" s="366">
        <f>Import.SICONV</f>
        <v>0</v>
      </c>
      <c r="J5" s="592" t="str">
        <f>Import.Apelido</f>
        <v>Calçamento da Rua General Neto</v>
      </c>
      <c r="K5" s="592"/>
      <c r="L5" s="592"/>
      <c r="M5" s="592"/>
      <c r="N5" s="592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595" t="s">
        <v>339</v>
      </c>
      <c r="G7" s="595"/>
      <c r="H7" s="595"/>
      <c r="I7" s="595" t="str">
        <f>IF(TIPOORCAMENTO="Licitado","REGIME DE EXECUÇÃO","MUNICÍPIO / UF")</f>
        <v>MUNICÍPIO / UF</v>
      </c>
      <c r="J7" s="595"/>
      <c r="K7" s="595"/>
      <c r="L7" s="595"/>
      <c r="M7" s="595" t="s">
        <v>340</v>
      </c>
      <c r="N7" s="595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621" t="s">
        <v>211</v>
      </c>
      <c r="D8" s="370">
        <f>Import.CTEF</f>
        <v>0</v>
      </c>
      <c r="E8" s="57">
        <f>Import.empresa</f>
        <v>0</v>
      </c>
      <c r="F8" s="592">
        <f>Import.CNPJ</f>
        <v>0</v>
      </c>
      <c r="G8" s="592"/>
      <c r="H8" s="592"/>
      <c r="I8" s="592" t="str">
        <f>IF(TIPOORCAMENTO="Licitado",Import.RegimeExecução,Import.Município)</f>
        <v>Caçapava do Sul/RS</v>
      </c>
      <c r="J8" s="592"/>
      <c r="K8" s="592"/>
      <c r="L8" s="592"/>
      <c r="M8" s="592" t="str">
        <f ca="1">TEXT(IF(BM.medicao=1,Import.DataInicioObra,OFFSET($AB$12,0,BM.medicao-1-$AB$13)+1),"dd/mm/aaaa")&amp;" a "&amp;TEXT(OFFSET($AB$12,0,BM.medicao-$AB$13),"dd/mm/aaaa")</f>
        <v>01/07/2024 a 00/01/1900</v>
      </c>
      <c r="N8" s="592"/>
      <c r="O8" s="490">
        <v>1</v>
      </c>
    </row>
    <row r="9" spans="1:41" ht="12.75" customHeight="1" x14ac:dyDescent="0.2">
      <c r="A9" s="531" t="b">
        <v>1</v>
      </c>
      <c r="B9" s="43"/>
      <c r="C9" s="621"/>
    </row>
    <row r="10" spans="1:41" x14ac:dyDescent="0.2">
      <c r="C10" s="621"/>
      <c r="E10" s="689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89"/>
      <c r="G10" s="689"/>
      <c r="H10" s="689"/>
      <c r="I10" s="689"/>
      <c r="N10" s="690" t="str">
        <f ca="1">"Realizado Acumulado: "&amp;TEXT(ROUND($O$15/($I$15+10^-12),4),"0,00%")</f>
        <v>Realizado Acumulado: 0,00%</v>
      </c>
      <c r="O10" s="690"/>
    </row>
    <row r="11" spans="1:41" ht="15" customHeight="1" x14ac:dyDescent="0.25">
      <c r="C11" s="621"/>
      <c r="E11" s="689"/>
      <c r="F11" s="689"/>
      <c r="G11" s="689"/>
      <c r="H11" s="689"/>
      <c r="I11" s="689"/>
      <c r="N11" s="690"/>
      <c r="O11" s="690"/>
      <c r="T11" s="691" t="s">
        <v>343</v>
      </c>
      <c r="U11" s="691"/>
      <c r="Z11" s="4"/>
      <c r="AB11" s="667" t="s">
        <v>344</v>
      </c>
      <c r="AC11" s="667"/>
      <c r="AD11" s="667"/>
      <c r="AE11" s="667"/>
      <c r="AF11" s="667"/>
      <c r="AG11" s="667"/>
      <c r="AH11" s="667"/>
      <c r="AI11" s="667"/>
      <c r="AJ11" s="667"/>
      <c r="AK11" s="667"/>
      <c r="AL11" s="667"/>
      <c r="AM11" s="667"/>
    </row>
    <row r="12" spans="1:41" ht="15" customHeight="1" x14ac:dyDescent="0.25">
      <c r="C12" s="621"/>
      <c r="E12" s="85" t="s">
        <v>345</v>
      </c>
      <c r="J12" s="594" t="str">
        <f ca="1">"Evolução Física "&amp;CHOOSE(MATCH(RegimeExecucao,{"Unitário","Global"},0),"(Qtde.)","(%)")</f>
        <v>Evolução Física (%)</v>
      </c>
      <c r="K12" s="594"/>
      <c r="L12" s="594"/>
      <c r="M12" s="594" t="s">
        <v>346</v>
      </c>
      <c r="N12" s="594"/>
      <c r="O12" s="594"/>
      <c r="Q12" s="594" t="str">
        <f ca="1">"Aferido (CAIXA) "&amp;CHOOSE(MATCH(RegimeExecucao,{"Unitário","Global"},0),"(Qtde.)","(%)")</f>
        <v>Aferido (CAIXA) (%)</v>
      </c>
      <c r="R12" s="594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97" t="str">
        <f>"Objeto do CTEF: "&amp;Import.DescLote</f>
        <v>Objeto do CTEF: Lote Único - Empreitada Preço Global</v>
      </c>
      <c r="E15" s="697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IF(OR(ACOMPANHAMENTO="PLE",TIPOORCAMENTO="Proposto"),0,SUMIF(OFFSET($A15,1,0):$A$52,"S",OFFSET(M15,1,0):M$52))</f>
        <v>0</v>
      </c>
      <c r="N15" s="386">
        <f ca="1">O15-M15</f>
        <v>0</v>
      </c>
      <c r="O15" s="386">
        <f ca="1">IF(OR(ACOMPANHAMENTO="PLE",TIPOORCAMENTO="Proposto"),0,SUMIF(OFFSET($A15,1,0):$A$52,"S",OFFSET(O15,1,0):O$52))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93" t="str">
        <f ca="1">"Preencher abaixo com a "&amp;CHOOSE(MATCH(RegimeExecucao,{"Unitário","Global"},0),"QUANTIDADE","PORCENTAGEM")&amp;" executada no PERÍODO"</f>
        <v>Preencher abaixo com a PORCENTAGEM executada no PERÍODO</v>
      </c>
      <c r="AC15" s="693"/>
      <c r="AD15" s="693"/>
      <c r="AE15" s="693"/>
      <c r="AF15" s="693"/>
      <c r="AG15" s="693"/>
      <c r="AH15" s="693"/>
      <c r="AI15" s="693"/>
      <c r="AJ15" s="693"/>
      <c r="AK15" s="693"/>
      <c r="AL15" s="693"/>
      <c r="AM15" s="693"/>
    </row>
    <row r="16" spans="1:41" x14ac:dyDescent="0.2">
      <c r="A16">
        <f ca="1">ORÇAMENTO!C16</f>
        <v>1</v>
      </c>
      <c r="B16">
        <f ca="1">ORÇAMENTO!D16</f>
        <v>36</v>
      </c>
      <c r="C16" s="116" t="str">
        <f t="shared" ref="C16:C43" ca="1" si="1">IF(OR($I16&gt;0,$A16=1,$A16=2,$A16=3,$A16=4),"F","")</f>
        <v>F</v>
      </c>
      <c r="D16" s="119" t="str">
        <f ca="1">ORÇAMENTO!O16</f>
        <v>1.</v>
      </c>
      <c r="E16" s="171" t="str">
        <f t="shared" ref="E16:E43" si="2">ORÇAMENTO.Descricao</f>
        <v>CALÇAMENTO DA RUA GAL. NETO</v>
      </c>
      <c r="F16" s="172" t="str">
        <f t="shared" ref="F16:F43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43" ca="1" si="4">IF($A16="S",IF(CAIXA.Modo,BM.AFAnterior,BM.MEDAnterior),IF(AND(RegimeExecucao="Global",$I16&gt;0,COUNTIF($AB$13:$AM$13,BM.medicao-1)&gt;0),M16/$I16*100,0))</f>
        <v>0</v>
      </c>
      <c r="K16" s="124">
        <f t="shared" ref="K16:K43" ca="1" si="5">L16-J16</f>
        <v>0</v>
      </c>
      <c r="L16" s="378">
        <f t="shared" ref="L16:L43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43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43" ca="1" si="8">IF($W16&gt;0,$D16,"")</f>
        <v/>
      </c>
      <c r="U16" s="171" t="str">
        <f t="shared" ref="U16:U43" ca="1" si="9">IF($W16&gt;0,$E16,"")</f>
        <v/>
      </c>
      <c r="V16" s="172" t="str">
        <f t="shared" ref="V16:V43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43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04-2024.xls)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04-2024.xls)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10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 xml:space="preserve">PAVIMENTAÇÃO 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4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51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38.25" x14ac:dyDescent="0.2">
      <c r="A28" t="str">
        <f ca="1">ORÇAMENTO!C28</f>
        <v>S</v>
      </c>
      <c r="B28">
        <f ca="1">ORÇAMENTO!D28</f>
        <v>0</v>
      </c>
      <c r="C28" s="116" t="str">
        <f t="shared" ca="1" si="1"/>
        <v/>
      </c>
      <c r="D28" s="119" t="str">
        <f ca="1">ORÇAMENTO!O28</f>
        <v>-</v>
      </c>
      <c r="E28" s="171" t="str">
        <f t="shared" ca="1" si="2"/>
        <v>(abra o arquivo 'Referência 04-2024.xls)</v>
      </c>
      <c r="F28" s="172" t="str">
        <f t="shared" ca="1" si="3"/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t="shared" ca="1" si="4"/>
        <v>0</v>
      </c>
      <c r="K28" s="124">
        <f t="shared" ca="1" si="5"/>
        <v>0</v>
      </c>
      <c r="L28" s="378">
        <f t="shared" ca="1" si="6"/>
        <v>0</v>
      </c>
      <c r="M28" s="379">
        <f ca="1">IF($A28="S",VTOTALBM,IF($A28=0,0,ROUND(SomaAgrupBM,15-13*ORÇAMENTO!$AF$11)))</f>
        <v>0</v>
      </c>
      <c r="N28" s="380">
        <f t="shared" ca="1" si="7"/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t="shared" ca="1" si="8"/>
        <v/>
      </c>
      <c r="U28" s="171" t="str">
        <f t="shared" ca="1" si="9"/>
        <v/>
      </c>
      <c r="V28" s="172" t="str">
        <f t="shared" ca="1" si="10"/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t="shared" ca="1" si="11"/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3</v>
      </c>
      <c r="B29">
        <f ca="1">ORÇAMENTO!D29</f>
        <v>5</v>
      </c>
      <c r="C29" s="116" t="str">
        <f ca="1">IF(OR($I29&gt;0,$A29=1,$A29=2,$A29=3,$A29=4),"F","")</f>
        <v>F</v>
      </c>
      <c r="D29" s="119" t="str">
        <f ca="1">ORÇAMENTO!O29</f>
        <v>1.4.2.</v>
      </c>
      <c r="E29" s="171" t="str">
        <f>ORÇAMENTO.Descricao</f>
        <v>Pavimentação da pista de rolamento com bloco de concreto 16 faces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ca="1">IF(OR($I30&gt;0,$A30=1,$A30=2,$A30=3,$A30=4),"F","")</f>
        <v/>
      </c>
      <c r="D30" s="119" t="str">
        <f ca="1">ORÇAMENTO!O30</f>
        <v>-</v>
      </c>
      <c r="E30" s="171" t="str">
        <f ca="1">ORÇAMENTO.Descricao</f>
        <v>(abra o arquivo 'Referência 04-2024.xls)</v>
      </c>
      <c r="F30" s="172" t="str">
        <f ca="1">IF(RegimeExecucao="Global","",ORÇAMENTO.Unidade)</f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ca="1">IF($A30="S",IF(CAIXA.Modo,BM.AFAnterior,BM.MEDAnterior),IF(AND(RegimeExecucao="Global",$I30&gt;0,COUNTIF($AB$13:$AM$13,BM.medicao-1)&gt;0),M30/$I30*100,0))</f>
        <v>0</v>
      </c>
      <c r="K30" s="124">
        <f ca="1">L30-J30</f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ca="1">O30-M30</f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ca="1">IF($W30&gt;0,$D30,"")</f>
        <v/>
      </c>
      <c r="U30" s="171" t="str">
        <f ca="1">IF($W30&gt;0,$E30,"")</f>
        <v/>
      </c>
      <c r="V30" s="172" t="str">
        <f ca="1">IF(AND($W30&gt;0,RegimeExecucao="Unitário"),$F30,"")</f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ca="1">AO30-O30</f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16" t="str">
        <f t="shared" ca="1" si="1"/>
        <v/>
      </c>
      <c r="D32" s="119" t="str">
        <f ca="1">ORÇAMENTO!O32</f>
        <v>-</v>
      </c>
      <c r="E32" s="171" t="str">
        <f t="shared" ca="1" si="2"/>
        <v>(abra o arquivo 'Referência 04-2024.xls)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38.25" x14ac:dyDescent="0.2">
      <c r="A33" t="str">
        <f ca="1">ORÇAMENTO!C33</f>
        <v>S</v>
      </c>
      <c r="B33">
        <f ca="1">ORÇAMENTO!D33</f>
        <v>0</v>
      </c>
      <c r="C33" s="116" t="str">
        <f t="shared" ca="1" si="1"/>
        <v/>
      </c>
      <c r="D33" s="119" t="str">
        <f ca="1">ORÇAMENTO!O33</f>
        <v>-</v>
      </c>
      <c r="E33" s="171" t="str">
        <f t="shared" ca="1" si="2"/>
        <v>(abra o arquivo 'Referência 04-2024.xls)</v>
      </c>
      <c r="F33" s="172" t="str">
        <f t="shared" ca="1" si="3"/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t="shared" ca="1" si="4"/>
        <v>0</v>
      </c>
      <c r="K33" s="124">
        <f t="shared" ca="1" si="5"/>
        <v>0</v>
      </c>
      <c r="L33" s="378">
        <f t="shared" ca="1" si="6"/>
        <v>0</v>
      </c>
      <c r="M33" s="379">
        <f ca="1">IF($A33="S",VTOTALBM,IF($A33=0,0,ROUND(SomaAgrupBM,15-13*ORÇAMENTO!$AF$11)))</f>
        <v>0</v>
      </c>
      <c r="N33" s="380">
        <f t="shared" ca="1" si="7"/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t="shared" ca="1" si="8"/>
        <v/>
      </c>
      <c r="U33" s="171" t="str">
        <f t="shared" ca="1" si="9"/>
        <v/>
      </c>
      <c r="V33" s="172" t="str">
        <f t="shared" ca="1" si="10"/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t="shared" ca="1" si="11"/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s="581" customFormat="1" x14ac:dyDescent="0.2">
      <c r="A34" s="581">
        <f ca="1">ORÇAMENTO!C34</f>
        <v>2</v>
      </c>
      <c r="B34" s="581">
        <f ca="1">ORÇAMENTO!D34</f>
        <v>3</v>
      </c>
      <c r="C34" s="116" t="str">
        <f t="shared" ca="1" si="1"/>
        <v>F</v>
      </c>
      <c r="D34" s="119" t="str">
        <f ca="1">ORÇAMENTO!O34</f>
        <v>1.5.</v>
      </c>
      <c r="E34" s="171" t="str">
        <f t="shared" si="2"/>
        <v>RECOMPOSIÇÃO DE DISPOSITIVOS DE DRENAGEM EXISTENTE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 s="581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s="581" customFormat="1" x14ac:dyDescent="0.2">
      <c r="A35" s="581">
        <f ca="1">ORÇAMENTO!C35</f>
        <v>3</v>
      </c>
      <c r="B35" s="581">
        <f ca="1">ORÇAMENTO!D35</f>
        <v>2</v>
      </c>
      <c r="C35" s="116" t="str">
        <f t="shared" ca="1" si="1"/>
        <v>F</v>
      </c>
      <c r="D35" s="119" t="str">
        <f ca="1">ORÇAMENTO!O35</f>
        <v>1.5.1.</v>
      </c>
      <c r="E35" s="171" t="str">
        <f t="shared" si="2"/>
        <v>Boca de Lobo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 s="581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s="581" customFormat="1" ht="38.25" x14ac:dyDescent="0.2">
      <c r="A36" s="581" t="str">
        <f ca="1">ORÇAMENTO!C36</f>
        <v>S</v>
      </c>
      <c r="B36" s="581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04-2024.xls)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 s="581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s="585" customFormat="1" ht="25.5" x14ac:dyDescent="0.2">
      <c r="A37" s="585">
        <f ca="1">ORÇAMENTO!C37</f>
        <v>2</v>
      </c>
      <c r="B37" s="585">
        <f ca="1">ORÇAMENTO!D37</f>
        <v>3</v>
      </c>
      <c r="C37" s="116" t="str">
        <f t="shared" ca="1" si="1"/>
        <v>F</v>
      </c>
      <c r="D37" s="119" t="str">
        <f ca="1">ORÇAMENTO!O37</f>
        <v>1.6.</v>
      </c>
      <c r="E37" s="171" t="str">
        <f t="shared" si="2"/>
        <v>FAIXA ELEVADA PAERA TRAVESSIA DE PEDESTRE EM BLOCO DE CONCRETO</v>
      </c>
      <c r="F37" s="172" t="str">
        <f t="shared" ca="1" si="3"/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t="shared" ca="1" si="4"/>
        <v>0</v>
      </c>
      <c r="K37" s="124">
        <f t="shared" ca="1" si="5"/>
        <v>0</v>
      </c>
      <c r="L37" s="378">
        <f t="shared" ca="1" si="6"/>
        <v>0</v>
      </c>
      <c r="M37" s="379">
        <f ca="1">IF($A37="S",VTOTALBM,IF($A37=0,0,ROUND(SomaAgrupBM,15-13*ORÇAMENTO!$AF$11)))</f>
        <v>0</v>
      </c>
      <c r="N37" s="380">
        <f t="shared" ca="1" si="7"/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t="shared" ca="1" si="8"/>
        <v/>
      </c>
      <c r="U37" s="171" t="str">
        <f t="shared" ca="1" si="9"/>
        <v/>
      </c>
      <c r="V37" s="172" t="str">
        <f t="shared" ca="1" si="10"/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t="shared" ca="1" si="11"/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 s="585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s="585" customFormat="1" ht="25.5" x14ac:dyDescent="0.2">
      <c r="A38" s="585" t="str">
        <f ca="1">ORÇAMENTO!C38</f>
        <v>S</v>
      </c>
      <c r="B38" s="585">
        <f ca="1">ORÇAMENTO!D38</f>
        <v>0</v>
      </c>
      <c r="C38" s="116" t="str">
        <f t="shared" ca="1" si="1"/>
        <v/>
      </c>
      <c r="D38" s="119" t="str">
        <f ca="1">ORÇAMENTO!O38</f>
        <v>-</v>
      </c>
      <c r="E38" s="171" t="str">
        <f t="shared" ca="1" si="2"/>
        <v>(abra o arquivo 'Referência 04-2024.xls)</v>
      </c>
      <c r="F38" s="172" t="str">
        <f t="shared" ca="1" si="3"/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t="shared" ca="1" si="4"/>
        <v>0</v>
      </c>
      <c r="K38" s="124">
        <f t="shared" ca="1" si="5"/>
        <v>0</v>
      </c>
      <c r="L38" s="378">
        <f t="shared" ca="1" si="6"/>
        <v>0</v>
      </c>
      <c r="M38" s="379">
        <f ca="1">IF($A38="S",VTOTALBM,IF($A38=0,0,ROUND(SomaAgrupBM,15-13*ORÇAMENTO!$AF$11)))</f>
        <v>0</v>
      </c>
      <c r="N38" s="380">
        <f t="shared" ca="1" si="7"/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t="shared" ca="1" si="8"/>
        <v/>
      </c>
      <c r="U38" s="171" t="str">
        <f t="shared" ca="1" si="9"/>
        <v/>
      </c>
      <c r="V38" s="172" t="str">
        <f t="shared" ca="1" si="10"/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t="shared" ca="1" si="11"/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 s="585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s="585" customFormat="1" ht="51" x14ac:dyDescent="0.2">
      <c r="A39" s="585" t="str">
        <f ca="1">ORÇAMENTO!C39</f>
        <v>S</v>
      </c>
      <c r="B39" s="585">
        <f ca="1">ORÇAMENTO!D39</f>
        <v>0</v>
      </c>
      <c r="C39" s="116" t="str">
        <f t="shared" ca="1" si="1"/>
        <v/>
      </c>
      <c r="D39" s="119" t="str">
        <f ca="1">ORÇAMENTO!O39</f>
        <v>-</v>
      </c>
      <c r="E39" s="171" t="str">
        <f t="shared" ca="1" si="2"/>
        <v>(abra o arquivo 'Referência 04-2024.xls)</v>
      </c>
      <c r="F39" s="172" t="str">
        <f t="shared" ca="1" si="3"/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t="shared" ca="1" si="4"/>
        <v>0</v>
      </c>
      <c r="K39" s="124">
        <f t="shared" ca="1" si="5"/>
        <v>0</v>
      </c>
      <c r="L39" s="378">
        <f t="shared" ca="1" si="6"/>
        <v>0</v>
      </c>
      <c r="M39" s="379">
        <f ca="1">IF($A39="S",VTOTALBM,IF($A39=0,0,ROUND(SomaAgrupBM,15-13*ORÇAMENTO!$AF$11)))</f>
        <v>0</v>
      </c>
      <c r="N39" s="380">
        <f t="shared" ca="1" si="7"/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t="shared" ca="1" si="8"/>
        <v/>
      </c>
      <c r="U39" s="171" t="str">
        <f t="shared" ca="1" si="9"/>
        <v/>
      </c>
      <c r="V39" s="172" t="str">
        <f t="shared" ca="1" si="10"/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t="shared" ca="1" si="11"/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 s="585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s="585" customFormat="1" x14ac:dyDescent="0.2">
      <c r="A40" s="585">
        <f ca="1">ORÇAMENTO!C40</f>
        <v>2</v>
      </c>
      <c r="B40" s="585">
        <f ca="1">ORÇAMENTO!D40</f>
        <v>3</v>
      </c>
      <c r="C40" s="116" t="str">
        <f t="shared" ca="1" si="1"/>
        <v>F</v>
      </c>
      <c r="D40" s="119" t="str">
        <f ca="1">ORÇAMENTO!O40</f>
        <v>1.7.</v>
      </c>
      <c r="E40" s="171" t="str">
        <f t="shared" si="2"/>
        <v>Canaleta de concreto para drenagem</v>
      </c>
      <c r="F40" s="172" t="str">
        <f t="shared" ca="1" si="3"/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t="shared" ca="1" si="4"/>
        <v>0</v>
      </c>
      <c r="K40" s="124">
        <f t="shared" ca="1" si="5"/>
        <v>0</v>
      </c>
      <c r="L40" s="378">
        <f t="shared" ca="1" si="6"/>
        <v>0</v>
      </c>
      <c r="M40" s="379">
        <f ca="1">IF($A40="S",VTOTALBM,IF($A40=0,0,ROUND(SomaAgrupBM,15-13*ORÇAMENTO!$AF$11)))</f>
        <v>0</v>
      </c>
      <c r="N40" s="380">
        <f t="shared" ca="1" si="7"/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ca="1" si="8"/>
        <v/>
      </c>
      <c r="U40" s="171" t="str">
        <f t="shared" ca="1" si="9"/>
        <v/>
      </c>
      <c r="V40" s="172" t="str">
        <f t="shared" ca="1" si="10"/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ca="1" si="11"/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 s="585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s="585" customFormat="1" ht="51" x14ac:dyDescent="0.2">
      <c r="A41" s="585" t="str">
        <f ca="1">ORÇAMENTO!C41</f>
        <v>S</v>
      </c>
      <c r="B41" s="585">
        <f ca="1">ORÇAMENTO!D41</f>
        <v>0</v>
      </c>
      <c r="C41" s="116" t="str">
        <f t="shared" ca="1" si="1"/>
        <v/>
      </c>
      <c r="D41" s="119" t="str">
        <f ca="1">ORÇAMENTO!O41</f>
        <v>-</v>
      </c>
      <c r="E41" s="171" t="str">
        <f t="shared" ca="1" si="2"/>
        <v>(abra o arquivo 'Referência 04-2024.xls)</v>
      </c>
      <c r="F41" s="172" t="str">
        <f t="shared" ca="1" si="3"/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t="shared" ca="1" si="4"/>
        <v>0</v>
      </c>
      <c r="K41" s="124">
        <f t="shared" ca="1" si="5"/>
        <v>0</v>
      </c>
      <c r="L41" s="378">
        <f t="shared" ca="1" si="6"/>
        <v>0</v>
      </c>
      <c r="M41" s="379">
        <f ca="1">IF($A41="S",VTOTALBM,IF($A41=0,0,ROUND(SomaAgrupBM,15-13*ORÇAMENTO!$AF$11)))</f>
        <v>0</v>
      </c>
      <c r="N41" s="380">
        <f t="shared" ca="1" si="7"/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t="shared" ca="1" si="8"/>
        <v/>
      </c>
      <c r="U41" s="171" t="str">
        <f t="shared" ca="1" si="9"/>
        <v/>
      </c>
      <c r="V41" s="172" t="str">
        <f t="shared" ca="1" si="10"/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t="shared" ca="1" si="11"/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 s="585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s="585" customFormat="1" ht="38.25" x14ac:dyDescent="0.2">
      <c r="A42" s="585" t="str">
        <f ca="1">ORÇAMENTO!C42</f>
        <v>S</v>
      </c>
      <c r="B42" s="585">
        <f ca="1">ORÇAMENTO!D42</f>
        <v>0</v>
      </c>
      <c r="C42" s="116" t="str">
        <f t="shared" ca="1" si="1"/>
        <v/>
      </c>
      <c r="D42" s="119" t="str">
        <f ca="1">ORÇAMENTO!O42</f>
        <v>-</v>
      </c>
      <c r="E42" s="171" t="str">
        <f t="shared" ca="1" si="2"/>
        <v>(abra o arquivo 'Referência 04-2024.xls)</v>
      </c>
      <c r="F42" s="172" t="str">
        <f t="shared" ca="1" si="3"/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t="shared" ca="1" si="4"/>
        <v>0</v>
      </c>
      <c r="K42" s="124">
        <f t="shared" ca="1" si="5"/>
        <v>0</v>
      </c>
      <c r="L42" s="378">
        <f t="shared" ca="1" si="6"/>
        <v>0</v>
      </c>
      <c r="M42" s="379">
        <f ca="1">IF($A42="S",VTOTALBM,IF($A42=0,0,ROUND(SomaAgrupBM,15-13*ORÇAMENTO!$AF$11)))</f>
        <v>0</v>
      </c>
      <c r="N42" s="380">
        <f t="shared" ca="1" si="7"/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t="shared" ca="1" si="8"/>
        <v/>
      </c>
      <c r="U42" s="171" t="str">
        <f t="shared" ca="1" si="9"/>
        <v/>
      </c>
      <c r="V42" s="172" t="str">
        <f t="shared" ca="1" si="10"/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t="shared" ca="1" si="11"/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 s="585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x14ac:dyDescent="0.2">
      <c r="A43">
        <f ca="1">ORÇAMENTO!C43</f>
        <v>2</v>
      </c>
      <c r="B43">
        <f ca="1">ORÇAMENTO!D43</f>
        <v>1</v>
      </c>
      <c r="C43" s="116" t="str">
        <f t="shared" ca="1" si="1"/>
        <v>F</v>
      </c>
      <c r="D43" s="119" t="str">
        <f ca="1">ORÇAMENTO!O43</f>
        <v>1.8.</v>
      </c>
      <c r="E43" s="171" t="str">
        <f t="shared" si="2"/>
        <v>PASSEIO PÚBLICO</v>
      </c>
      <c r="F43" s="172" t="str">
        <f t="shared" ca="1" si="3"/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t="shared" ca="1" si="4"/>
        <v>0</v>
      </c>
      <c r="K43" s="124">
        <f t="shared" ca="1" si="5"/>
        <v>0</v>
      </c>
      <c r="L43" s="378">
        <f t="shared" ca="1" si="6"/>
        <v>0</v>
      </c>
      <c r="M43" s="379">
        <f ca="1">IF($A43="S",VTOTALBM,IF($A43=0,0,ROUND(SomaAgrupBM,15-13*ORÇAMENTO!$AF$11)))</f>
        <v>0</v>
      </c>
      <c r="N43" s="380">
        <f t="shared" ca="1" si="7"/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t="shared" ca="1" si="8"/>
        <v/>
      </c>
      <c r="U43" s="171" t="str">
        <f t="shared" ca="1" si="9"/>
        <v/>
      </c>
      <c r="V43" s="172" t="str">
        <f t="shared" ca="1" si="10"/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t="shared" ca="1" si="11"/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s="577" customFormat="1" x14ac:dyDescent="0.2">
      <c r="A44" s="577">
        <f ca="1">ORÇAMENTO!C44</f>
        <v>2</v>
      </c>
      <c r="B44" s="577">
        <f ca="1">ORÇAMENTO!D44</f>
        <v>2</v>
      </c>
      <c r="C44" s="116" t="str">
        <f ca="1">IF(OR($I44&gt;0,$A44=1,$A44=2,$A44=3,$A44=4),"F","")</f>
        <v>F</v>
      </c>
      <c r="D44" s="119" t="str">
        <f ca="1">ORÇAMENTO!O44</f>
        <v>1.9.</v>
      </c>
      <c r="E44" s="171" t="str">
        <f t="shared" ref="E44:E47" si="18">ORÇAMENTO.Descricao</f>
        <v>Lado Direito</v>
      </c>
      <c r="F44" s="172" t="str">
        <f ca="1">IF(RegimeExecucao="Global","",ORÇAMENTO.Unidade)</f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ca="1">IF($A44="S",IF(CAIXA.Modo,BM.AFAnterior,BM.MEDAnterior),IF(AND(RegimeExecucao="Global",$I44&gt;0,COUNTIF($AB$13:$AM$13,BM.medicao-1)&gt;0),M44/$I44*100,0))</f>
        <v>0</v>
      </c>
      <c r="K44" s="124">
        <f ca="1">L44-J44</f>
        <v>0</v>
      </c>
      <c r="L44" s="378">
        <f ca="1">IF($A44="S",IF(CAIXA.Modo,BM.AFAcumulado,BM.MEDAcumulado),IF(AND(RegimeExecucao="Global",$I44&gt;0,COUNTIF($AB$13:$AM$13,BM.medicao)&gt;0),O44/$I44*100,0))</f>
        <v>0</v>
      </c>
      <c r="M44" s="379">
        <f ca="1">IF($A44="S",VTOTALBM,IF($A44=0,0,ROUND(SomaAgrupBM,15-13*ORÇAMENTO!$AF$11)))</f>
        <v>0</v>
      </c>
      <c r="N44" s="380">
        <f ca="1">O44-M44</f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ca="1">IF($W44&gt;0,$D44,"")</f>
        <v/>
      </c>
      <c r="U44" s="171" t="str">
        <f ca="1">IF($W44&gt;0,$E44,"")</f>
        <v/>
      </c>
      <c r="V44" s="172" t="str">
        <f ca="1">IF(AND($W44&gt;0,RegimeExecucao="Unitário"),$F44,"")</f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ca="1">AO44-O44</f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 s="577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s="577" customFormat="1" ht="25.5" x14ac:dyDescent="0.2">
      <c r="A45" s="577" t="str">
        <f ca="1">ORÇAMENTO!C45</f>
        <v>S</v>
      </c>
      <c r="B45" s="577">
        <f ca="1">ORÇAMENTO!D45</f>
        <v>0</v>
      </c>
      <c r="C45" s="116" t="str">
        <f ca="1">IF(OR($I45&gt;0,$A45=1,$A45=2,$A45=3,$A45=4),"F","")</f>
        <v/>
      </c>
      <c r="D45" s="119" t="str">
        <f ca="1">ORÇAMENTO!O45</f>
        <v>-</v>
      </c>
      <c r="E45" s="171" t="str">
        <f t="shared" ca="1" si="18"/>
        <v>(abra o arquivo 'Referência 04-2024.xls)</v>
      </c>
      <c r="F45" s="172" t="str">
        <f ca="1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ca="1">IF($A45="S",IF(CAIXA.Modo,BM.AFAnterior,BM.MEDAnterior),IF(AND(RegimeExecucao="Global",$I45&gt;0,COUNTIF($AB$13:$AM$13,BM.medicao-1)&gt;0),M45/$I45*100,0))</f>
        <v>0</v>
      </c>
      <c r="K45" s="124">
        <f ca="1">L45-J45</f>
        <v>0</v>
      </c>
      <c r="L45" s="378">
        <f ca="1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ca="1">O45-M45</f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ca="1">IF($W45&gt;0,$D45,"")</f>
        <v/>
      </c>
      <c r="U45" s="171" t="str">
        <f ca="1">IF($W45&gt;0,$E45,"")</f>
        <v/>
      </c>
      <c r="V45" s="172" t="str">
        <f ca="1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ca="1">AO45-O45</f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 s="577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s="577" customFormat="1" x14ac:dyDescent="0.2">
      <c r="A46" s="577">
        <f ca="1">ORÇAMENTO!C46</f>
        <v>2</v>
      </c>
      <c r="B46" s="577">
        <f ca="1">ORÇAMENTO!D46</f>
        <v>2</v>
      </c>
      <c r="C46" s="116" t="str">
        <f t="shared" ref="C46:C47" ca="1" si="19">IF(OR($I46&gt;0,$A46=1,$A46=2,$A46=3,$A46=4),"F","")</f>
        <v>F</v>
      </c>
      <c r="D46" s="119" t="str">
        <f ca="1">ORÇAMENTO!O46</f>
        <v>1.10.</v>
      </c>
      <c r="E46" s="171" t="str">
        <f t="shared" si="18"/>
        <v>Lado Esquerdo</v>
      </c>
      <c r="F46" s="172" t="str">
        <f ca="1">IF(RegimeExecucao="Global","",ORÇAMENTO.Unidade)</f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ca="1">IF($A46="S",IF(CAIXA.Modo,BM.AFAnterior,BM.MEDAnterior),IF(AND(RegimeExecucao="Global",$I46&gt;0,COUNTIF($AB$13:$AM$13,BM.medicao-1)&gt;0),M46/$I46*100,0))</f>
        <v>0</v>
      </c>
      <c r="K46" s="124">
        <f t="shared" ref="K46:K47" ca="1" si="20">L46-J46</f>
        <v>0</v>
      </c>
      <c r="L46" s="378">
        <f ca="1">IF($A46="S",IF(CAIXA.Modo,BM.AFAcumulado,BM.MEDAcumulado),IF(AND(RegimeExecucao="Global",$I46&gt;0,COUNTIF($AB$13:$AM$13,BM.medicao)&gt;0),O46/$I46*100,0))</f>
        <v>0</v>
      </c>
      <c r="M46" s="379">
        <f ca="1">IF($A46="S",VTOTALBM,IF($A46=0,0,ROUND(SomaAgrupBM,15-13*ORÇAMENTO!$AF$11)))</f>
        <v>0</v>
      </c>
      <c r="N46" s="380">
        <f t="shared" ref="N46:N47" ca="1" si="21">O46-M46</f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t="shared" ref="T46:T47" ca="1" si="22">IF($W46&gt;0,$D46,"")</f>
        <v/>
      </c>
      <c r="U46" s="171" t="str">
        <f t="shared" ref="U46:U47" ca="1" si="23">IF($W46&gt;0,$E46,"")</f>
        <v/>
      </c>
      <c r="V46" s="172" t="str">
        <f ca="1">IF(AND($W46&gt;0,RegimeExecucao="Unitário"),$F46,"")</f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t="shared" ref="Y46:Y47" ca="1" si="24">AO46-O46</f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 s="577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s="577" customFormat="1" ht="25.5" x14ac:dyDescent="0.2">
      <c r="A47" s="577" t="str">
        <f ca="1">ORÇAMENTO!C47</f>
        <v>S</v>
      </c>
      <c r="B47" s="577">
        <f ca="1">ORÇAMENTO!D47</f>
        <v>0</v>
      </c>
      <c r="C47" s="116" t="str">
        <f t="shared" ca="1" si="19"/>
        <v/>
      </c>
      <c r="D47" s="119" t="str">
        <f ca="1">ORÇAMENTO!O47</f>
        <v>-</v>
      </c>
      <c r="E47" s="171" t="str">
        <f t="shared" ca="1" si="18"/>
        <v>(abra o arquivo 'Referência 04-2024.xls)</v>
      </c>
      <c r="F47" s="172" t="str">
        <f ca="1">IF(RegimeExecucao="Global","",ORÇAMENTO.Unidade)</f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ca="1">IF($A47="S",IF(CAIXA.Modo,BM.AFAnterior,BM.MEDAnterior),IF(AND(RegimeExecucao="Global",$I47&gt;0,COUNTIF($AB$13:$AM$13,BM.medicao-1)&gt;0),M47/$I47*100,0))</f>
        <v>0</v>
      </c>
      <c r="K47" s="124">
        <f t="shared" ca="1" si="20"/>
        <v>0</v>
      </c>
      <c r="L47" s="378">
        <f ca="1">IF($A47="S",IF(CAIXA.Modo,BM.AFAcumulado,BM.MEDAcumulado),IF(AND(RegimeExecucao="Global",$I47&gt;0,COUNTIF($AB$13:$AM$13,BM.medicao)&gt;0),O47/$I47*100,0))</f>
        <v>0</v>
      </c>
      <c r="M47" s="379">
        <f ca="1">IF($A47="S",VTOTALBM,IF($A47=0,0,ROUND(SomaAgrupBM,15-13*ORÇAMENTO!$AF$11)))</f>
        <v>0</v>
      </c>
      <c r="N47" s="380">
        <f t="shared" ca="1" si="21"/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t="shared" ca="1" si="22"/>
        <v/>
      </c>
      <c r="U47" s="171" t="str">
        <f t="shared" ca="1" si="23"/>
        <v/>
      </c>
      <c r="V47" s="172" t="str">
        <f ca="1">IF(AND($W47&gt;0,RegimeExecucao="Unitário"),$F47,"")</f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t="shared" ca="1" si="24"/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 s="57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x14ac:dyDescent="0.2">
      <c r="A48">
        <f ca="1">ORÇAMENTO!C48</f>
        <v>2</v>
      </c>
      <c r="B48">
        <f ca="1">ORÇAMENTO!D48</f>
        <v>4</v>
      </c>
      <c r="C48" s="116" t="str">
        <f t="shared" ref="C48:C51" ca="1" si="25">IF(OR($I48&gt;0,$A48=1,$A48=2,$A48=3,$A48=4),"F","")</f>
        <v>F</v>
      </c>
      <c r="D48" s="119" t="str">
        <f ca="1">ORÇAMENTO!O48</f>
        <v>1.11.</v>
      </c>
      <c r="E48" s="171" t="str">
        <f t="shared" ref="E48:E51" si="26">ORÇAMENTO.Descricao</f>
        <v>SINALIZAÇÃO VERTICAL</v>
      </c>
      <c r="F48" s="172" t="str">
        <f t="shared" ref="F48:F51" ca="1" si="27">IF(RegimeExecucao="Global","",ORÇAMENTO.Unidade)</f>
        <v/>
      </c>
      <c r="G48" s="124" t="str">
        <f ca="1">IF(RegimeExecucao="Global","",ORÇAMENTO!T48)</f>
        <v/>
      </c>
      <c r="H48" s="124" t="str">
        <f ca="1">IF(RegimeExecucao="Global","",ORÇAMENTO!W48)</f>
        <v/>
      </c>
      <c r="I48" s="127">
        <f ca="1">ORÇAMENTO!X48</f>
        <v>0</v>
      </c>
      <c r="J48" s="377">
        <f t="shared" ref="J48:J51" ca="1" si="28">IF($A48="S",IF(CAIXA.Modo,BM.AFAnterior,BM.MEDAnterior),IF(AND(RegimeExecucao="Global",$I48&gt;0,COUNTIF($AB$13:$AM$13,BM.medicao-1)&gt;0),M48/$I48*100,0))</f>
        <v>0</v>
      </c>
      <c r="K48" s="124">
        <f t="shared" ref="K48:K51" ca="1" si="29">L48-J48</f>
        <v>0</v>
      </c>
      <c r="L48" s="378">
        <f t="shared" ref="L48:L51" ca="1" si="30">IF($A48="S",IF(CAIXA.Modo,BM.AFAcumulado,BM.MEDAcumulado),IF(AND(RegimeExecucao="Global",$I48&gt;0,COUNTIF($AB$13:$AM$13,BM.medicao)&gt;0),O48/$I48*100,0))</f>
        <v>0</v>
      </c>
      <c r="M48" s="379">
        <f ca="1">IF($A48="S",VTOTALBM,IF($A48=0,0,ROUND(SomaAgrupBM,15-13*ORÇAMENTO!$AF$11)))</f>
        <v>0</v>
      </c>
      <c r="N48" s="380">
        <f t="shared" ref="N48:N51" ca="1" si="31">O48-M48</f>
        <v>0</v>
      </c>
      <c r="O48" s="127">
        <f ca="1">IF($A48="S",VTOTALBM,IF($A48=0,0,ROUND(SomaAgrupBM,15-13*ORÇAMENTO!$AF$11)))</f>
        <v>0</v>
      </c>
      <c r="Q48" s="381"/>
      <c r="R48" s="382"/>
      <c r="T48" s="119" t="str">
        <f t="shared" ref="T48:T51" ca="1" si="32">IF($W48&gt;0,$D48,"")</f>
        <v/>
      </c>
      <c r="U48" s="171" t="str">
        <f t="shared" ref="U48:U51" ca="1" si="33">IF($W48&gt;0,$E48,"")</f>
        <v/>
      </c>
      <c r="V48" s="172" t="str">
        <f t="shared" ref="V48:V51" ca="1" si="34">IF(AND($W48&gt;0,RegimeExecucao="Unitário"),$F48,"")</f>
        <v/>
      </c>
      <c r="W48" s="547">
        <f ca="1">IF($Y48&gt;0,CHOOSE(MATCH(RegimeExecucao,{"Unitário","Global"},0),IF($A48="S",$Y48/$X48,""),($Y48/$X48)*100),0)</f>
        <v>0</v>
      </c>
      <c r="X48" s="383" t="str">
        <f ca="1">IF($Y48&gt;0,CHOOSE(MATCH(RegimeExecucao,{"Unitário","Global"},0),IF($A48="S",ROUND($H48,ORÇAMENTO!$AF$10),""),ROUND($I48,ORÇAMENTO!$AF$11)),"")</f>
        <v/>
      </c>
      <c r="Y48" s="383">
        <f t="shared" ref="Y48:Y51" ca="1" si="35">AO48-O48</f>
        <v>0</v>
      </c>
      <c r="Z48" s="384"/>
      <c r="AB48" s="381"/>
      <c r="AC48" s="516"/>
      <c r="AD48" s="516"/>
      <c r="AE48" s="516"/>
      <c r="AF48" s="516"/>
      <c r="AG48" s="516"/>
      <c r="AH48" s="516"/>
      <c r="AI48" s="516"/>
      <c r="AJ48" s="516"/>
      <c r="AK48" s="516"/>
      <c r="AL48" s="516"/>
      <c r="AM48" s="382"/>
      <c r="AO48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ht="25.5" x14ac:dyDescent="0.2">
      <c r="A49" t="str">
        <f ca="1">ORÇAMENTO!C49</f>
        <v>S</v>
      </c>
      <c r="B49">
        <f ca="1">ORÇAMENTO!D49</f>
        <v>0</v>
      </c>
      <c r="C49" s="116" t="str">
        <f t="shared" ca="1" si="25"/>
        <v/>
      </c>
      <c r="D49" s="119" t="str">
        <f ca="1">ORÇAMENTO!O49</f>
        <v>-</v>
      </c>
      <c r="E49" s="171" t="str">
        <f t="shared" ca="1" si="26"/>
        <v>(abra o arquivo 'Referência 04-2024.xls)</v>
      </c>
      <c r="F49" s="172" t="str">
        <f t="shared" ca="1" si="27"/>
        <v/>
      </c>
      <c r="G49" s="124" t="str">
        <f ca="1">IF(RegimeExecucao="Global","",ORÇAMENTO!T49)</f>
        <v/>
      </c>
      <c r="H49" s="124" t="str">
        <f ca="1">IF(RegimeExecucao="Global","",ORÇAMENTO!W49)</f>
        <v/>
      </c>
      <c r="I49" s="127">
        <f ca="1">ORÇAMENTO!X49</f>
        <v>0</v>
      </c>
      <c r="J49" s="377">
        <f t="shared" ca="1" si="28"/>
        <v>0</v>
      </c>
      <c r="K49" s="124">
        <f t="shared" ca="1" si="29"/>
        <v>0</v>
      </c>
      <c r="L49" s="378">
        <f t="shared" ca="1" si="30"/>
        <v>0</v>
      </c>
      <c r="M49" s="379">
        <f ca="1">IF($A49="S",VTOTALBM,IF($A49=0,0,ROUND(SomaAgrupBM,15-13*ORÇAMENTO!$AF$11)))</f>
        <v>0</v>
      </c>
      <c r="N49" s="380">
        <f t="shared" ca="1" si="31"/>
        <v>0</v>
      </c>
      <c r="O49" s="127">
        <f ca="1">IF($A49="S",VTOTALBM,IF($A49=0,0,ROUND(SomaAgrupBM,15-13*ORÇAMENTO!$AF$11)))</f>
        <v>0</v>
      </c>
      <c r="Q49" s="381"/>
      <c r="R49" s="382"/>
      <c r="T49" s="119" t="str">
        <f t="shared" ca="1" si="32"/>
        <v/>
      </c>
      <c r="U49" s="171" t="str">
        <f t="shared" ca="1" si="33"/>
        <v/>
      </c>
      <c r="V49" s="172" t="str">
        <f t="shared" ca="1" si="34"/>
        <v/>
      </c>
      <c r="W49" s="547">
        <f ca="1">IF($Y49&gt;0,CHOOSE(MATCH(RegimeExecucao,{"Unitário","Global"},0),IF($A49="S",$Y49/$X49,""),($Y49/$X49)*100),0)</f>
        <v>0</v>
      </c>
      <c r="X49" s="383" t="str">
        <f ca="1">IF($Y49&gt;0,CHOOSE(MATCH(RegimeExecucao,{"Unitário","Global"},0),IF($A49="S",ROUND($H49,ORÇAMENTO!$AF$10),""),ROUND($I49,ORÇAMENTO!$AF$11)),"")</f>
        <v/>
      </c>
      <c r="Y49" s="383">
        <f t="shared" ca="1" si="35"/>
        <v>0</v>
      </c>
      <c r="Z49" s="384"/>
      <c r="AB49" s="381"/>
      <c r="AC49" s="516"/>
      <c r="AD49" s="516"/>
      <c r="AE49" s="516"/>
      <c r="AF49" s="516"/>
      <c r="AG49" s="516"/>
      <c r="AH49" s="516"/>
      <c r="AI49" s="516"/>
      <c r="AJ49" s="516"/>
      <c r="AK49" s="516"/>
      <c r="AL49" s="516"/>
      <c r="AM49" s="382"/>
      <c r="AO4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s="587" customFormat="1" ht="25.5" x14ac:dyDescent="0.2">
      <c r="A50" s="587" t="str">
        <f ca="1">ORÇAMENTO!C50</f>
        <v>S</v>
      </c>
      <c r="B50" s="587">
        <f ca="1">ORÇAMENTO!D50</f>
        <v>0</v>
      </c>
      <c r="C50" s="116" t="str">
        <f t="shared" ca="1" si="25"/>
        <v/>
      </c>
      <c r="D50" s="119" t="str">
        <f ca="1">ORÇAMENTO!O50</f>
        <v>-</v>
      </c>
      <c r="E50" s="171" t="str">
        <f t="shared" ca="1" si="26"/>
        <v>(abra o arquivo 'Referência 04-2024.xls)</v>
      </c>
      <c r="F50" s="172" t="str">
        <f t="shared" ca="1" si="27"/>
        <v/>
      </c>
      <c r="G50" s="124" t="str">
        <f ca="1">IF(RegimeExecucao="Global","",ORÇAMENTO!T50)</f>
        <v/>
      </c>
      <c r="H50" s="124" t="str">
        <f ca="1">IF(RegimeExecucao="Global","",ORÇAMENTO!W50)</f>
        <v/>
      </c>
      <c r="I50" s="127">
        <f ca="1">ORÇAMENTO!X50</f>
        <v>0</v>
      </c>
      <c r="J50" s="377">
        <f t="shared" ca="1" si="28"/>
        <v>0</v>
      </c>
      <c r="K50" s="124">
        <f t="shared" ca="1" si="29"/>
        <v>0</v>
      </c>
      <c r="L50" s="378">
        <f t="shared" ca="1" si="30"/>
        <v>0</v>
      </c>
      <c r="M50" s="379">
        <f ca="1">IF($A50="S",VTOTALBM,IF($A50=0,0,ROUND(SomaAgrupBM,15-13*ORÇAMENTO!$AF$11)))</f>
        <v>0</v>
      </c>
      <c r="N50" s="380">
        <f t="shared" ca="1" si="31"/>
        <v>0</v>
      </c>
      <c r="O50" s="127">
        <f ca="1">IF($A50="S",VTOTALBM,IF($A50=0,0,ROUND(SomaAgrupBM,15-13*ORÇAMENTO!$AF$11)))</f>
        <v>0</v>
      </c>
      <c r="Q50" s="381"/>
      <c r="R50" s="382"/>
      <c r="T50" s="119" t="str">
        <f t="shared" ca="1" si="32"/>
        <v/>
      </c>
      <c r="U50" s="171" t="str">
        <f t="shared" ca="1" si="33"/>
        <v/>
      </c>
      <c r="V50" s="172" t="str">
        <f t="shared" ca="1" si="34"/>
        <v/>
      </c>
      <c r="W50" s="547">
        <f ca="1">IF($Y50&gt;0,CHOOSE(MATCH(RegimeExecucao,{"Unitário","Global"},0),IF($A50="S",$Y50/$X50,""),($Y50/$X50)*100),0)</f>
        <v>0</v>
      </c>
      <c r="X50" s="383" t="str">
        <f ca="1">IF($Y50&gt;0,CHOOSE(MATCH(RegimeExecucao,{"Unitário","Global"},0),IF($A50="S",ROUND($H50,ORÇAMENTO!$AF$10),""),ROUND($I50,ORÇAMENTO!$AF$11)),"")</f>
        <v/>
      </c>
      <c r="Y50" s="383">
        <f t="shared" ca="1" si="35"/>
        <v>0</v>
      </c>
      <c r="Z50" s="384"/>
      <c r="AB50" s="381"/>
      <c r="AC50" s="516"/>
      <c r="AD50" s="516"/>
      <c r="AE50" s="516"/>
      <c r="AF50" s="516"/>
      <c r="AG50" s="516"/>
      <c r="AH50" s="516"/>
      <c r="AI50" s="516"/>
      <c r="AJ50" s="516"/>
      <c r="AK50" s="516"/>
      <c r="AL50" s="516"/>
      <c r="AM50" s="382"/>
      <c r="AO50" s="587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s="587" customFormat="1" ht="25.5" x14ac:dyDescent="0.2">
      <c r="A51" s="587" t="str">
        <f ca="1">ORÇAMENTO!C51</f>
        <v>S</v>
      </c>
      <c r="B51" s="587">
        <f ca="1">ORÇAMENTO!D51</f>
        <v>0</v>
      </c>
      <c r="C51" s="116" t="str">
        <f t="shared" ca="1" si="25"/>
        <v/>
      </c>
      <c r="D51" s="119" t="str">
        <f ca="1">ORÇAMENTO!O51</f>
        <v>-</v>
      </c>
      <c r="E51" s="171" t="str">
        <f t="shared" ca="1" si="26"/>
        <v>(abra o arquivo 'Referência 04-2024.xls)</v>
      </c>
      <c r="F51" s="172" t="str">
        <f t="shared" ca="1" si="27"/>
        <v/>
      </c>
      <c r="G51" s="124" t="str">
        <f ca="1">IF(RegimeExecucao="Global","",ORÇAMENTO!T51)</f>
        <v/>
      </c>
      <c r="H51" s="124" t="str">
        <f ca="1">IF(RegimeExecucao="Global","",ORÇAMENTO!W51)</f>
        <v/>
      </c>
      <c r="I51" s="127">
        <f ca="1">ORÇAMENTO!X51</f>
        <v>0</v>
      </c>
      <c r="J51" s="377">
        <f t="shared" ca="1" si="28"/>
        <v>0</v>
      </c>
      <c r="K51" s="124">
        <f t="shared" ca="1" si="29"/>
        <v>0</v>
      </c>
      <c r="L51" s="378">
        <f t="shared" ca="1" si="30"/>
        <v>0</v>
      </c>
      <c r="M51" s="379">
        <f ca="1">IF($A51="S",VTOTALBM,IF($A51=0,0,ROUND(SomaAgrupBM,15-13*ORÇAMENTO!$AF$11)))</f>
        <v>0</v>
      </c>
      <c r="N51" s="380">
        <f t="shared" ca="1" si="31"/>
        <v>0</v>
      </c>
      <c r="O51" s="127">
        <f ca="1">IF($A51="S",VTOTALBM,IF($A51=0,0,ROUND(SomaAgrupBM,15-13*ORÇAMENTO!$AF$11)))</f>
        <v>0</v>
      </c>
      <c r="Q51" s="381"/>
      <c r="R51" s="382"/>
      <c r="T51" s="119" t="str">
        <f t="shared" ca="1" si="32"/>
        <v/>
      </c>
      <c r="U51" s="171" t="str">
        <f t="shared" ca="1" si="33"/>
        <v/>
      </c>
      <c r="V51" s="172" t="str">
        <f t="shared" ca="1" si="34"/>
        <v/>
      </c>
      <c r="W51" s="547">
        <f ca="1">IF($Y51&gt;0,CHOOSE(MATCH(RegimeExecucao,{"Unitário","Global"},0),IF($A51="S",$Y51/$X51,""),($Y51/$X51)*100),0)</f>
        <v>0</v>
      </c>
      <c r="X51" s="383" t="str">
        <f ca="1">IF($Y51&gt;0,CHOOSE(MATCH(RegimeExecucao,{"Unitário","Global"},0),IF($A51="S",ROUND($H51,ORÇAMENTO!$AF$10),""),ROUND($I51,ORÇAMENTO!$AF$11)),"")</f>
        <v/>
      </c>
      <c r="Y51" s="383">
        <f t="shared" ca="1" si="35"/>
        <v>0</v>
      </c>
      <c r="Z51" s="384"/>
      <c r="AB51" s="381"/>
      <c r="AC51" s="516"/>
      <c r="AD51" s="516"/>
      <c r="AE51" s="516"/>
      <c r="AF51" s="516"/>
      <c r="AG51" s="516"/>
      <c r="AH51" s="516"/>
      <c r="AI51" s="516"/>
      <c r="AJ51" s="516"/>
      <c r="AK51" s="516"/>
      <c r="AL51" s="516"/>
      <c r="AM51" s="382"/>
      <c r="AO51" s="587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ht="5.0999999999999996" customHeight="1" x14ac:dyDescent="0.2">
      <c r="C52" s="116" t="s">
        <v>248</v>
      </c>
      <c r="D52" s="484"/>
      <c r="E52" s="485"/>
      <c r="F52" s="485"/>
      <c r="G52" s="485"/>
      <c r="H52" s="485"/>
      <c r="I52" s="486"/>
      <c r="J52" s="484"/>
      <c r="K52" s="485"/>
      <c r="L52" s="486"/>
      <c r="M52" s="513"/>
      <c r="N52" s="514"/>
      <c r="O52" s="515"/>
      <c r="Q52" s="484"/>
      <c r="R52" s="486"/>
      <c r="T52" s="484"/>
      <c r="U52" s="485"/>
      <c r="V52" s="485"/>
      <c r="W52" s="485"/>
      <c r="X52" s="485"/>
      <c r="Y52" s="485"/>
      <c r="Z52" s="486"/>
      <c r="AB52" s="484"/>
      <c r="AC52" s="485"/>
      <c r="AD52" s="485"/>
      <c r="AE52" s="485"/>
      <c r="AF52" s="485"/>
      <c r="AG52" s="485"/>
      <c r="AH52" s="485"/>
      <c r="AI52" s="485"/>
      <c r="AJ52" s="485"/>
      <c r="AK52" s="485"/>
      <c r="AL52" s="485"/>
      <c r="AM52" s="486"/>
    </row>
    <row r="54" spans="1:41" ht="14.25" x14ac:dyDescent="0.2">
      <c r="D54" s="694" t="s">
        <v>189</v>
      </c>
      <c r="E54" s="694"/>
      <c r="F54" s="694"/>
      <c r="G54" s="694"/>
      <c r="H54" s="694"/>
      <c r="I54" s="694"/>
      <c r="J54" s="694"/>
      <c r="K54" s="694"/>
      <c r="L54" s="694"/>
      <c r="M54" s="694"/>
      <c r="N54" s="694"/>
      <c r="O54" s="694"/>
      <c r="T54" s="695" t="s">
        <v>355</v>
      </c>
      <c r="U54" s="695"/>
      <c r="V54" s="695"/>
      <c r="W54" s="695"/>
      <c r="X54" s="695"/>
      <c r="Y54" s="695"/>
      <c r="Z54" s="695"/>
    </row>
    <row r="55" spans="1:41" ht="12.75" customHeight="1" x14ac:dyDescent="0.2">
      <c r="D55" s="625"/>
      <c r="E55" s="625"/>
      <c r="F55" s="625"/>
      <c r="G55" s="625"/>
      <c r="H55" s="625"/>
      <c r="I55" s="625"/>
      <c r="J55" s="625"/>
      <c r="K55" s="625"/>
      <c r="L55" s="625"/>
      <c r="M55" s="625"/>
      <c r="N55" s="625"/>
      <c r="O55" s="625"/>
      <c r="T55" s="696"/>
      <c r="U55" s="696"/>
      <c r="V55" s="696"/>
      <c r="W55" s="696"/>
      <c r="X55" s="696"/>
      <c r="Y55" s="696"/>
      <c r="Z55" s="696"/>
    </row>
    <row r="56" spans="1:41" ht="12.75" customHeight="1" x14ac:dyDescent="0.2">
      <c r="D56" s="625"/>
      <c r="E56" s="625"/>
      <c r="F56" s="625"/>
      <c r="G56" s="625"/>
      <c r="H56" s="625"/>
      <c r="I56" s="625"/>
      <c r="J56" s="625"/>
      <c r="K56" s="625"/>
      <c r="L56" s="625"/>
      <c r="M56" s="625"/>
      <c r="N56" s="625"/>
      <c r="O56" s="625"/>
      <c r="T56" s="696"/>
      <c r="U56" s="696"/>
      <c r="V56" s="696"/>
      <c r="W56" s="696"/>
      <c r="X56" s="696"/>
      <c r="Y56" s="696"/>
      <c r="Z56" s="696"/>
    </row>
    <row r="57" spans="1:41" ht="12.75" customHeight="1" x14ac:dyDescent="0.2">
      <c r="D57" s="625"/>
      <c r="E57" s="625"/>
      <c r="F57" s="625"/>
      <c r="G57" s="625"/>
      <c r="H57" s="625"/>
      <c r="I57" s="625"/>
      <c r="J57" s="625"/>
      <c r="K57" s="625"/>
      <c r="L57" s="625"/>
      <c r="M57" s="625"/>
      <c r="N57" s="625"/>
      <c r="O57" s="625"/>
      <c r="T57" s="696"/>
      <c r="U57" s="696"/>
      <c r="V57" s="696"/>
      <c r="W57" s="696"/>
      <c r="X57" s="696"/>
      <c r="Y57" s="696"/>
      <c r="Z57" s="696"/>
    </row>
    <row r="58" spans="1:41" ht="14.25" x14ac:dyDescent="0.2"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4"/>
      <c r="O58" s="534"/>
    </row>
    <row r="59" spans="1:41" ht="15" customHeight="1" x14ac:dyDescent="0.25">
      <c r="D59" s="626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59" s="626"/>
      <c r="F59" s="626"/>
      <c r="G59" s="626"/>
      <c r="H59" s="626"/>
      <c r="I59" s="626"/>
      <c r="J59" s="626"/>
      <c r="K59" s="626"/>
      <c r="L59" s="626"/>
    </row>
    <row r="60" spans="1:41" x14ac:dyDescent="0.2">
      <c r="D60" s="692"/>
      <c r="E60" s="692"/>
      <c r="F60" s="692"/>
      <c r="G60" s="692"/>
      <c r="H60" s="692"/>
      <c r="I60" s="692"/>
    </row>
    <row r="61" spans="1:41" x14ac:dyDescent="0.2">
      <c r="D61" s="699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61" s="699"/>
      <c r="F61" s="699"/>
      <c r="G61" s="699"/>
      <c r="H61" s="699"/>
      <c r="I61" s="699"/>
      <c r="J61" s="699"/>
      <c r="K61" s="699"/>
      <c r="L61" s="699"/>
      <c r="M61" s="699"/>
      <c r="N61" s="699"/>
      <c r="O61" s="699"/>
    </row>
    <row r="62" spans="1:41" ht="39.950000000000003" customHeight="1" x14ac:dyDescent="0.2">
      <c r="E62" s="144" t="str">
        <f>Import.Município</f>
        <v>Caçapava do Sul/RS</v>
      </c>
      <c r="J62" s="700"/>
      <c r="K62" s="700"/>
      <c r="L62" s="700"/>
      <c r="M62" s="700"/>
      <c r="W62" s="700"/>
      <c r="X62" s="700"/>
      <c r="Y62" s="700"/>
      <c r="Z62" s="700"/>
    </row>
    <row r="63" spans="1:41" x14ac:dyDescent="0.2">
      <c r="E63" s="10" t="s">
        <v>190</v>
      </c>
      <c r="J63" s="194" t="s">
        <v>304</v>
      </c>
      <c r="W63" s="194" t="s">
        <v>356</v>
      </c>
    </row>
    <row r="64" spans="1:41" x14ac:dyDescent="0.2">
      <c r="J64" s="78" t="s">
        <v>109</v>
      </c>
      <c r="K64" s="311">
        <f t="array" ref="K64:K67">Import.RespFiscalização</f>
        <v>0</v>
      </c>
      <c r="L64" s="79"/>
      <c r="W64" s="78" t="s">
        <v>109</v>
      </c>
      <c r="X64" s="698"/>
      <c r="Y64" s="698"/>
      <c r="Z64" s="698"/>
    </row>
    <row r="65" spans="5:26" x14ac:dyDescent="0.2">
      <c r="E65" s="552">
        <f ca="1">DADOS!$F$47</f>
        <v>45518</v>
      </c>
      <c r="J65" s="78" t="s">
        <v>128</v>
      </c>
      <c r="K65" s="311">
        <v>0</v>
      </c>
      <c r="L65" s="79"/>
      <c r="W65" s="78" t="s">
        <v>357</v>
      </c>
      <c r="X65" s="698"/>
      <c r="Y65" s="698"/>
      <c r="Z65" s="698"/>
    </row>
    <row r="66" spans="5:26" x14ac:dyDescent="0.2">
      <c r="E66" s="146" t="s">
        <v>191</v>
      </c>
      <c r="J66" s="78" t="s">
        <v>110</v>
      </c>
      <c r="K66" s="311">
        <v>0</v>
      </c>
      <c r="L66" s="79"/>
      <c r="W66" s="78" t="s">
        <v>110</v>
      </c>
      <c r="X66" s="698"/>
      <c r="Y66" s="698"/>
      <c r="Z66" s="698"/>
    </row>
    <row r="67" spans="5:26" x14ac:dyDescent="0.2">
      <c r="J67" s="78" t="s">
        <v>111</v>
      </c>
      <c r="K67" s="13">
        <v>0</v>
      </c>
      <c r="W67" s="78"/>
      <c r="X67" s="13"/>
    </row>
  </sheetData>
  <sheetProtection password="BD1F" sheet="1" objects="1" scenarios="1" autoFilter="0"/>
  <autoFilter ref="C15:C52"/>
  <mergeCells count="35">
    <mergeCell ref="X66:Z66"/>
    <mergeCell ref="D61:O61"/>
    <mergeCell ref="J62:M62"/>
    <mergeCell ref="W62:Z62"/>
    <mergeCell ref="X64:Z64"/>
    <mergeCell ref="X65:Z65"/>
    <mergeCell ref="D59:L59"/>
    <mergeCell ref="D60:I60"/>
    <mergeCell ref="AB15:AM15"/>
    <mergeCell ref="D54:O54"/>
    <mergeCell ref="T54:Z54"/>
    <mergeCell ref="D55:O57"/>
    <mergeCell ref="T55:Z57"/>
    <mergeCell ref="D15:E15"/>
    <mergeCell ref="AB11:AM11"/>
    <mergeCell ref="J12:L12"/>
    <mergeCell ref="M12:O12"/>
    <mergeCell ref="Q12:R12"/>
    <mergeCell ref="F7:H7"/>
    <mergeCell ref="I7:L7"/>
    <mergeCell ref="M7:N7"/>
    <mergeCell ref="T11:U11"/>
    <mergeCell ref="C8:C12"/>
    <mergeCell ref="F8:H8"/>
    <mergeCell ref="I8:L8"/>
    <mergeCell ref="M8:N8"/>
    <mergeCell ref="E10:I11"/>
    <mergeCell ref="N10:O11"/>
    <mergeCell ref="D5:E5"/>
    <mergeCell ref="F5:H5"/>
    <mergeCell ref="J5:N5"/>
    <mergeCell ref="A3:B3"/>
    <mergeCell ref="D4:E4"/>
    <mergeCell ref="F4:H4"/>
    <mergeCell ref="J4:N4"/>
  </mergeCells>
  <phoneticPr fontId="38" type="noConversion"/>
  <conditionalFormatting sqref="D14:O14 T14:Z14 T24:Z24 D24:O24 D20:O20 T20:Z20 D32:O33 T32:Z33 D26:O28 T26:Z28 D49:O49 T49:Z49 D46:O47 T46:Z47">
    <cfRule type="expression" dxfId="84" priority="2728" stopIfTrue="1">
      <formula>OR(ACOMPANHAMENTO="PLE",TIPOORCAMENTO="Proposto",$L14&lt;0,AND($L14&gt;100,RegimeExecucao="Global"),$O14&gt;$I14,$O14&lt;0)</formula>
    </cfRule>
    <cfRule type="expression" dxfId="83" priority="2729" stopIfTrue="1">
      <formula>$A14=1</formula>
    </cfRule>
    <cfRule type="expression" dxfId="82" priority="2730" stopIfTrue="1">
      <formula>$A14&lt;&gt;"S"</formula>
    </cfRule>
  </conditionalFormatting>
  <conditionalFormatting sqref="Q14:R14 AB14:AM14 AB24:AM24 Q24:R24 Q20:R20 AB20:AM20 Q32:R33 AB32:AM33 Q26:R28 AB26:AM28 Q49:R49 AB49:AM49 Q46:R47 AB46:AM47">
    <cfRule type="expression" dxfId="81" priority="2731" stopIfTrue="1">
      <formula>$A14=1</formula>
    </cfRule>
    <cfRule type="expression" dxfId="80" priority="2732" stopIfTrue="1">
      <formula>$A14&lt;&gt;"S"</formula>
    </cfRule>
  </conditionalFormatting>
  <conditionalFormatting sqref="E2">
    <cfRule type="expression" dxfId="79" priority="2733" stopIfTrue="1">
      <formula>Import.RegimeExecução="(SELECIONAR)"</formula>
    </cfRule>
  </conditionalFormatting>
  <conditionalFormatting sqref="F13:H13">
    <cfRule type="expression" dxfId="78" priority="2734" stopIfTrue="1">
      <formula>RegimeExecucao="Global"</formula>
    </cfRule>
  </conditionalFormatting>
  <conditionalFormatting sqref="D15:O15">
    <cfRule type="expression" dxfId="77" priority="2735" stopIfTrue="1">
      <formula>OR(ACOMPANHAMENTO="PLE",TIPOORCAMENTO="Proposto")</formula>
    </cfRule>
  </conditionalFormatting>
  <conditionalFormatting sqref="D16:O16 T16:Z16 T19:Z19 D19:O19 D21:O21 T21:Z21">
    <cfRule type="expression" dxfId="76" priority="586" stopIfTrue="1">
      <formula>OR(ACOMPANHAMENTO="PLE",TIPOORCAMENTO="Proposto",$L16&lt;0,AND($L16&gt;100,RegimeExecucao="Global"),$O16&gt;$I16,$O16&lt;0)</formula>
    </cfRule>
    <cfRule type="expression" dxfId="75" priority="587" stopIfTrue="1">
      <formula>$A16=1</formula>
    </cfRule>
    <cfRule type="expression" dxfId="74" priority="588" stopIfTrue="1">
      <formula>$A16&lt;&gt;"S"</formula>
    </cfRule>
  </conditionalFormatting>
  <conditionalFormatting sqref="Q16:R16 AB16:AM16 AB19:AM19 Q19:R19 Q21:R21 AB21:AM21">
    <cfRule type="expression" dxfId="73" priority="589" stopIfTrue="1">
      <formula>$A16=1</formula>
    </cfRule>
    <cfRule type="expression" dxfId="72" priority="590" stopIfTrue="1">
      <formula>$A16&lt;&gt;"S"</formula>
    </cfRule>
  </conditionalFormatting>
  <conditionalFormatting sqref="D48:O48 T48:Z48">
    <cfRule type="expression" dxfId="71" priority="306" stopIfTrue="1">
      <formula>OR(ACOMPANHAMENTO="PLE",TIPOORCAMENTO="Proposto",$L48&lt;0,AND($L48&gt;100,RegimeExecucao="Global"),$O48&gt;$I48,$O48&lt;0)</formula>
    </cfRule>
    <cfRule type="expression" dxfId="70" priority="307" stopIfTrue="1">
      <formula>$A48=1</formula>
    </cfRule>
    <cfRule type="expression" dxfId="69" priority="308" stopIfTrue="1">
      <formula>$A48&lt;&gt;"S"</formula>
    </cfRule>
  </conditionalFormatting>
  <conditionalFormatting sqref="Q48:R48 AB48:AM48">
    <cfRule type="expression" dxfId="68" priority="309" stopIfTrue="1">
      <formula>$A48=1</formula>
    </cfRule>
    <cfRule type="expression" dxfId="67" priority="310" stopIfTrue="1">
      <formula>$A48&lt;&gt;"S"</formula>
    </cfRule>
  </conditionalFormatting>
  <conditionalFormatting sqref="D30:O30 T30:Z30">
    <cfRule type="expression" dxfId="66" priority="211" stopIfTrue="1">
      <formula>OR(ACOMPANHAMENTO="PLE",TIPOORCAMENTO="Proposto",$L30&lt;0,AND($L30&gt;100,RegimeExecucao="Global"),$O30&gt;$I30,$O30&lt;0)</formula>
    </cfRule>
    <cfRule type="expression" dxfId="65" priority="212" stopIfTrue="1">
      <formula>$A30=1</formula>
    </cfRule>
    <cfRule type="expression" dxfId="64" priority="213" stopIfTrue="1">
      <formula>$A30&lt;&gt;"S"</formula>
    </cfRule>
  </conditionalFormatting>
  <conditionalFormatting sqref="Q30:R30 AB30:AM30">
    <cfRule type="expression" dxfId="63" priority="214" stopIfTrue="1">
      <formula>$A30=1</formula>
    </cfRule>
    <cfRule type="expression" dxfId="62" priority="215" stopIfTrue="1">
      <formula>$A30&lt;&gt;"S"</formula>
    </cfRule>
  </conditionalFormatting>
  <conditionalFormatting sqref="D31:O31 T31:Z31">
    <cfRule type="expression" dxfId="61" priority="181" stopIfTrue="1">
      <formula>OR(ACOMPANHAMENTO="PLE",TIPOORCAMENTO="Proposto",$L31&lt;0,AND($L31&gt;100,RegimeExecucao="Global"),$O31&gt;$I31,$O31&lt;0)</formula>
    </cfRule>
    <cfRule type="expression" dxfId="60" priority="182" stopIfTrue="1">
      <formula>$A31=1</formula>
    </cfRule>
    <cfRule type="expression" dxfId="59" priority="183" stopIfTrue="1">
      <formula>$A31&lt;&gt;"S"</formula>
    </cfRule>
  </conditionalFormatting>
  <conditionalFormatting sqref="Q31:R31 AB31:AM31">
    <cfRule type="expression" dxfId="58" priority="184" stopIfTrue="1">
      <formula>$A31=1</formula>
    </cfRule>
    <cfRule type="expression" dxfId="57" priority="185" stopIfTrue="1">
      <formula>$A31&lt;&gt;"S"</formula>
    </cfRule>
  </conditionalFormatting>
  <conditionalFormatting sqref="D25:O25 T25:Z25">
    <cfRule type="expression" dxfId="56" priority="131" stopIfTrue="1">
      <formula>OR(ACOMPANHAMENTO="PLE",TIPOORCAMENTO="Proposto",$L25&lt;0,AND($L25&gt;100,RegimeExecucao="Global"),$O25&gt;$I25,$O25&lt;0)</formula>
    </cfRule>
    <cfRule type="expression" dxfId="55" priority="132" stopIfTrue="1">
      <formula>$A25=1</formula>
    </cfRule>
    <cfRule type="expression" dxfId="54" priority="133" stopIfTrue="1">
      <formula>$A25&lt;&gt;"S"</formula>
    </cfRule>
  </conditionalFormatting>
  <conditionalFormatting sqref="Q25:R25 AB25:AM25">
    <cfRule type="expression" dxfId="53" priority="134" stopIfTrue="1">
      <formula>$A25=1</formula>
    </cfRule>
    <cfRule type="expression" dxfId="52" priority="135" stopIfTrue="1">
      <formula>$A25&lt;&gt;"S"</formula>
    </cfRule>
  </conditionalFormatting>
  <conditionalFormatting sqref="D29:O29 T29:Z29">
    <cfRule type="expression" dxfId="51" priority="126" stopIfTrue="1">
      <formula>OR(ACOMPANHAMENTO="PLE",TIPOORCAMENTO="Proposto",$L29&lt;0,AND($L29&gt;100,RegimeExecucao="Global"),$O29&gt;$I29,$O29&lt;0)</formula>
    </cfRule>
    <cfRule type="expression" dxfId="50" priority="127" stopIfTrue="1">
      <formula>$A29=1</formula>
    </cfRule>
    <cfRule type="expression" dxfId="49" priority="128" stopIfTrue="1">
      <formula>$A29&lt;&gt;"S"</formula>
    </cfRule>
  </conditionalFormatting>
  <conditionalFormatting sqref="Q29:R29 AB29:AM29">
    <cfRule type="expression" dxfId="48" priority="129" stopIfTrue="1">
      <formula>$A29=1</formula>
    </cfRule>
    <cfRule type="expression" dxfId="47" priority="130" stopIfTrue="1">
      <formula>$A29&lt;&gt;"S"</formula>
    </cfRule>
  </conditionalFormatting>
  <conditionalFormatting sqref="T43:Z43 D43:O43">
    <cfRule type="expression" dxfId="46" priority="116" stopIfTrue="1">
      <formula>OR(ACOMPANHAMENTO="PLE",TIPOORCAMENTO="Proposto",$L43&lt;0,AND($L43&gt;100,RegimeExecucao="Global"),$O43&gt;$I43,$O43&lt;0)</formula>
    </cfRule>
    <cfRule type="expression" dxfId="45" priority="117" stopIfTrue="1">
      <formula>$A43=1</formula>
    </cfRule>
    <cfRule type="expression" dxfId="44" priority="118" stopIfTrue="1">
      <formula>$A43&lt;&gt;"S"</formula>
    </cfRule>
  </conditionalFormatting>
  <conditionalFormatting sqref="AB43:AM43 Q43:R43">
    <cfRule type="expression" dxfId="43" priority="119" stopIfTrue="1">
      <formula>$A43=1</formula>
    </cfRule>
    <cfRule type="expression" dxfId="42" priority="120" stopIfTrue="1">
      <formula>$A43&lt;&gt;"S"</formula>
    </cfRule>
  </conditionalFormatting>
  <conditionalFormatting sqref="D17:O18 T17:Z18">
    <cfRule type="expression" dxfId="41" priority="86" stopIfTrue="1">
      <formula>OR(ACOMPANHAMENTO="PLE",TIPOORCAMENTO="Proposto",$L17&lt;0,AND($L17&gt;100,RegimeExecucao="Global"),$O17&gt;$I17,$O17&lt;0)</formula>
    </cfRule>
    <cfRule type="expression" dxfId="40" priority="87" stopIfTrue="1">
      <formula>$A17=1</formula>
    </cfRule>
    <cfRule type="expression" dxfId="39" priority="88" stopIfTrue="1">
      <formula>$A17&lt;&gt;"S"</formula>
    </cfRule>
  </conditionalFormatting>
  <conditionalFormatting sqref="Q17:R18 AB17:AM18">
    <cfRule type="expression" dxfId="38" priority="89" stopIfTrue="1">
      <formula>$A17=1</formula>
    </cfRule>
    <cfRule type="expression" dxfId="37" priority="90" stopIfTrue="1">
      <formula>$A17&lt;&gt;"S"</formula>
    </cfRule>
  </conditionalFormatting>
  <conditionalFormatting sqref="D22:O23 T22:Z23">
    <cfRule type="expression" dxfId="36" priority="71" stopIfTrue="1">
      <formula>OR(ACOMPANHAMENTO="PLE",TIPOORCAMENTO="Proposto",$L22&lt;0,AND($L22&gt;100,RegimeExecucao="Global"),$O22&gt;$I22,$O22&lt;0)</formula>
    </cfRule>
    <cfRule type="expression" dxfId="35" priority="72" stopIfTrue="1">
      <formula>$A22=1</formula>
    </cfRule>
    <cfRule type="expression" dxfId="34" priority="73" stopIfTrue="1">
      <formula>$A22&lt;&gt;"S"</formula>
    </cfRule>
  </conditionalFormatting>
  <conditionalFormatting sqref="Q22:R23 AB22:AM23">
    <cfRule type="expression" dxfId="33" priority="74" stopIfTrue="1">
      <formula>$A22=1</formula>
    </cfRule>
    <cfRule type="expression" dxfId="32" priority="75" stopIfTrue="1">
      <formula>$A22&lt;&gt;"S"</formula>
    </cfRule>
  </conditionalFormatting>
  <conditionalFormatting sqref="D45:O45 T45:Z45">
    <cfRule type="expression" dxfId="31" priority="41" stopIfTrue="1">
      <formula>OR(ACOMPANHAMENTO="PLE",TIPOORCAMENTO="Proposto",$L45&lt;0,AND($L45&gt;100,RegimeExecucao="Global"),$O45&gt;$I45,$O45&lt;0)</formula>
    </cfRule>
    <cfRule type="expression" dxfId="30" priority="42" stopIfTrue="1">
      <formula>$A45=1</formula>
    </cfRule>
    <cfRule type="expression" dxfId="29" priority="43" stopIfTrue="1">
      <formula>$A45&lt;&gt;"S"</formula>
    </cfRule>
  </conditionalFormatting>
  <conditionalFormatting sqref="Q45:R45 AB45:AM45">
    <cfRule type="expression" dxfId="28" priority="44" stopIfTrue="1">
      <formula>$A45=1</formula>
    </cfRule>
    <cfRule type="expression" dxfId="27" priority="45" stopIfTrue="1">
      <formula>$A45&lt;&gt;"S"</formula>
    </cfRule>
  </conditionalFormatting>
  <conditionalFormatting sqref="D44:O44 T44:Z44">
    <cfRule type="expression" dxfId="26" priority="31" stopIfTrue="1">
      <formula>OR(ACOMPANHAMENTO="PLE",TIPOORCAMENTO="Proposto",$L44&lt;0,AND($L44&gt;100,RegimeExecucao="Global"),$O44&gt;$I44,$O44&lt;0)</formula>
    </cfRule>
    <cfRule type="expression" dxfId="25" priority="32" stopIfTrue="1">
      <formula>$A44=1</formula>
    </cfRule>
    <cfRule type="expression" dxfId="24" priority="33" stopIfTrue="1">
      <formula>$A44&lt;&gt;"S"</formula>
    </cfRule>
  </conditionalFormatting>
  <conditionalFormatting sqref="Q44:R44 AB44:AM44">
    <cfRule type="expression" dxfId="23" priority="34" stopIfTrue="1">
      <formula>$A44=1</formula>
    </cfRule>
    <cfRule type="expression" dxfId="22" priority="35" stopIfTrue="1">
      <formula>$A44&lt;&gt;"S"</formula>
    </cfRule>
  </conditionalFormatting>
  <conditionalFormatting sqref="D34:O36 T34:Z36">
    <cfRule type="expression" dxfId="21" priority="11" stopIfTrue="1">
      <formula>OR(ACOMPANHAMENTO="PLE",TIPOORCAMENTO="Proposto",$L34&lt;0,AND($L34&gt;100,RegimeExecucao="Global"),$O34&gt;$I34,$O34&lt;0)</formula>
    </cfRule>
    <cfRule type="expression" dxfId="20" priority="12" stopIfTrue="1">
      <formula>$A34=1</formula>
    </cfRule>
    <cfRule type="expression" dxfId="19" priority="13" stopIfTrue="1">
      <formula>$A34&lt;&gt;"S"</formula>
    </cfRule>
  </conditionalFormatting>
  <conditionalFormatting sqref="Q34:R36 AB34:AM36">
    <cfRule type="expression" dxfId="18" priority="14" stopIfTrue="1">
      <formula>$A34=1</formula>
    </cfRule>
    <cfRule type="expression" dxfId="17" priority="15" stopIfTrue="1">
      <formula>$A34&lt;&gt;"S"</formula>
    </cfRule>
  </conditionalFormatting>
  <conditionalFormatting sqref="D37:O42 T37:Z42">
    <cfRule type="expression" dxfId="16" priority="6" stopIfTrue="1">
      <formula>OR(ACOMPANHAMENTO="PLE",TIPOORCAMENTO="Proposto",$L37&lt;0,AND($L37&gt;100,RegimeExecucao="Global"),$O37&gt;$I37,$O37&lt;0)</formula>
    </cfRule>
    <cfRule type="expression" dxfId="15" priority="7" stopIfTrue="1">
      <formula>$A37=1</formula>
    </cfRule>
    <cfRule type="expression" dxfId="14" priority="8" stopIfTrue="1">
      <formula>$A37&lt;&gt;"S"</formula>
    </cfRule>
  </conditionalFormatting>
  <conditionalFormatting sqref="Q37:R42 AB37:AM42">
    <cfRule type="expression" dxfId="13" priority="9" stopIfTrue="1">
      <formula>$A37=1</formula>
    </cfRule>
    <cfRule type="expression" dxfId="12" priority="10" stopIfTrue="1">
      <formula>$A37&lt;&gt;"S"</formula>
    </cfRule>
  </conditionalFormatting>
  <conditionalFormatting sqref="D50:O51 T50:Z51">
    <cfRule type="expression" dxfId="11" priority="1" stopIfTrue="1">
      <formula>OR(ACOMPANHAMENTO="PLE",TIPOORCAMENTO="Proposto",$L50&lt;0,AND($L50&gt;100,RegimeExecucao="Global"),$O50&gt;$I50,$O50&lt;0)</formula>
    </cfRule>
    <cfRule type="expression" dxfId="10" priority="2" stopIfTrue="1">
      <formula>$A50=1</formula>
    </cfRule>
    <cfRule type="expression" dxfId="9" priority="3" stopIfTrue="1">
      <formula>$A50&lt;&gt;"S"</formula>
    </cfRule>
  </conditionalFormatting>
  <conditionalFormatting sqref="Q50:R51 AB50:AM51">
    <cfRule type="expression" dxfId="8" priority="4" stopIfTrue="1">
      <formula>$A50=1</formula>
    </cfRule>
    <cfRule type="expression" dxfId="7" priority="5" stopIfTrue="1">
      <formula>$A50&lt;&gt;"S"</formula>
    </cfRule>
  </conditionalFormatting>
  <dataValidations count="4">
    <dataValidation type="list" allowBlank="1" showErrorMessage="1" sqref="Z14 Z16:Z5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5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5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32" t="s">
        <v>149</v>
      </c>
      <c r="F3" s="632"/>
      <c r="G3" s="632"/>
      <c r="H3" s="632"/>
      <c r="I3" s="595" t="s">
        <v>147</v>
      </c>
      <c r="J3" s="595"/>
      <c r="K3" s="595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30" t="str">
        <f>Import.Proponente</f>
        <v>Prefeitura Municipal de Caçapava do Sul</v>
      </c>
      <c r="F4" s="630"/>
      <c r="G4" s="630"/>
      <c r="H4" s="630"/>
      <c r="I4" s="592">
        <f>Import.CR</f>
        <v>0</v>
      </c>
      <c r="J4" s="592"/>
      <c r="K4" s="592"/>
      <c r="L4" s="57">
        <f>Import.SICONV</f>
        <v>0</v>
      </c>
      <c r="M4" s="713" t="s">
        <v>309</v>
      </c>
      <c r="N4" s="714"/>
      <c r="O4" s="715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595" t="s">
        <v>204</v>
      </c>
      <c r="F6" s="595"/>
      <c r="G6" s="595"/>
      <c r="H6" s="595"/>
      <c r="I6" s="701" t="s">
        <v>308</v>
      </c>
      <c r="J6" s="701"/>
      <c r="K6" s="701"/>
      <c r="L6" s="701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621" t="s">
        <v>211</v>
      </c>
      <c r="E7" s="592" t="str">
        <f>Import.Apelido</f>
        <v>Calçamento da Rua General Neto</v>
      </c>
      <c r="F7" s="592"/>
      <c r="G7" s="592"/>
      <c r="H7" s="592"/>
      <c r="I7" s="702" t="str">
        <f>Import.Município</f>
        <v>Caçapava do Sul/RS</v>
      </c>
      <c r="J7" s="702"/>
      <c r="K7" s="702"/>
      <c r="L7" s="702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621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621"/>
      <c r="G9" s="703" t="s">
        <v>363</v>
      </c>
      <c r="H9" s="703"/>
      <c r="I9" s="703" t="s">
        <v>364</v>
      </c>
      <c r="J9" s="703"/>
      <c r="K9" s="401"/>
      <c r="L9" s="704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621"/>
      <c r="G10" s="594" t="e">
        <f ca="1">IF(J10="-","-",IF($P$15&lt;J10,"Atrasada",IF($P$15&gt;J10,"Adiantada","Normal")))</f>
        <v>#DIV/0!</v>
      </c>
      <c r="H10" s="594"/>
      <c r="I10" s="404">
        <f ca="1">DATE(YEAR($L$26),MONTH($L$26),1)</f>
        <v>45505</v>
      </c>
      <c r="J10" s="405" t="e">
        <f ca="1">IF($I$10&lt;DATE(YEAR(CRONO!$T$13),MONTH(CRONO!$T$13),1),0,IF($I$10&gt;CRONO!$AE$13,1,INDEX(CRONO!$S$56:$AG$56,MATCH(RRE!$I$10,CRONO!$S$13:$AG$13,0))))</f>
        <v>#DIV/0!</v>
      </c>
      <c r="K10" s="401"/>
      <c r="L10" s="704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05" t="s">
        <v>366</v>
      </c>
      <c r="AD10" s="705"/>
      <c r="AE10" s="705"/>
      <c r="AF10" s="705"/>
      <c r="AG10" s="705"/>
      <c r="AH10" s="705"/>
      <c r="AJ10" s="705" t="s">
        <v>4</v>
      </c>
      <c r="AK10" s="705"/>
      <c r="AL10" s="705"/>
      <c r="AM10" s="705"/>
      <c r="AN10" s="705"/>
      <c r="AO10" s="705"/>
    </row>
    <row r="11" spans="1:41" ht="20.100000000000001" customHeight="1" x14ac:dyDescent="0.2">
      <c r="D11" s="621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06" t="str">
        <f>IF(CAIXA.Modo,"Valores Aferidos (R$)","Valores Medidos (R$)")</f>
        <v>Valores Medidos (R$)</v>
      </c>
      <c r="Z11" s="706"/>
      <c r="AC11" s="707" t="s">
        <v>367</v>
      </c>
      <c r="AD11" s="707"/>
      <c r="AE11" s="707"/>
      <c r="AF11" s="707" t="s">
        <v>368</v>
      </c>
      <c r="AG11" s="707"/>
      <c r="AH11" s="707"/>
      <c r="AJ11" s="707" t="s">
        <v>367</v>
      </c>
      <c r="AK11" s="707"/>
      <c r="AL11" s="707"/>
      <c r="AM11" s="707" t="s">
        <v>368</v>
      </c>
      <c r="AN11" s="707"/>
      <c r="AO11" s="707"/>
    </row>
    <row r="12" spans="1:41" hidden="1" x14ac:dyDescent="0.2">
      <c r="A12" t="e">
        <f ca="1">MATCH(E12,ORÇAMENTO!$E$15:$E$52,0)-1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MATCH(E14,ORÇAMENTO!$E$15:$E$52,0)-1</f>
        <v>1</v>
      </c>
      <c r="B14">
        <f ca="1">IF(ISERROR($A14),NA(),OFFSET(ORÇAMENTO!$D$15,$A14,0))</f>
        <v>36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DA RUA GAL. NETO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22" t="s">
        <v>378</v>
      </c>
      <c r="K15" s="723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24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25" t="str">
        <f>IF(import.recurso="FGTS","Financiamento","Repasse")</f>
        <v>Repasse</v>
      </c>
      <c r="K16" s="726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24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27" t="s">
        <v>383</v>
      </c>
      <c r="K17" s="728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24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08" t="s">
        <v>360</v>
      </c>
      <c r="K18" s="709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24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10" t="s">
        <v>362</v>
      </c>
      <c r="K19" s="711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24"/>
      <c r="X19" s="358"/>
      <c r="Y19" s="360"/>
      <c r="Z19" s="361"/>
    </row>
    <row r="20" spans="4:30" x14ac:dyDescent="0.2">
      <c r="O20" s="712" t="e">
        <f ca="1">"Acumulado Anterior:  "&amp;TEXT($M$19/($L$19+10^-12),"0,00%")</f>
        <v>#DIV/0!</v>
      </c>
      <c r="P20" s="712"/>
    </row>
    <row r="21" spans="4:30" ht="14.25" x14ac:dyDescent="0.2">
      <c r="E21" s="141" t="s">
        <v>189</v>
      </c>
      <c r="P21" s="476"/>
    </row>
    <row r="22" spans="4:30" ht="12.75" customHeight="1" x14ac:dyDescent="0.2">
      <c r="E22" s="716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8"/>
    </row>
    <row r="23" spans="4:30" ht="12.75" customHeight="1" x14ac:dyDescent="0.2">
      <c r="E23" s="716"/>
      <c r="F23" s="717"/>
      <c r="G23" s="717"/>
      <c r="H23" s="717"/>
      <c r="I23" s="717"/>
      <c r="J23" s="717"/>
      <c r="K23" s="717"/>
      <c r="L23" s="717"/>
      <c r="M23" s="717"/>
      <c r="N23" s="717"/>
      <c r="O23" s="717"/>
      <c r="P23" s="718"/>
      <c r="Y23" s="438"/>
      <c r="Z23" s="438"/>
    </row>
    <row r="24" spans="4:30" ht="12.75" customHeight="1" x14ac:dyDescent="0.2">
      <c r="E24" s="719"/>
      <c r="F24" s="720"/>
      <c r="G24" s="720"/>
      <c r="H24" s="720"/>
      <c r="I24" s="720"/>
      <c r="J24" s="720"/>
      <c r="K24" s="720"/>
      <c r="L24" s="720"/>
      <c r="M24" s="720"/>
      <c r="N24" s="720"/>
      <c r="O24" s="720"/>
      <c r="P24" s="721"/>
    </row>
    <row r="26" spans="4:30" ht="15" x14ac:dyDescent="0.2">
      <c r="E26" s="627" t="str">
        <f>Import.Município</f>
        <v>Caçapava do Sul/RS</v>
      </c>
      <c r="F26" s="627"/>
      <c r="G26" s="627"/>
      <c r="I26" s="439"/>
      <c r="L26" s="650">
        <f ca="1">DADOS!$F$25</f>
        <v>45518</v>
      </c>
      <c r="M26" s="650"/>
      <c r="N26" s="650"/>
      <c r="O26" s="650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99">
        <f>IF(CAIXA.Modo,BM!X64,DADOS!F50)</f>
        <v>0</v>
      </c>
      <c r="N31" s="699"/>
      <c r="O31" s="699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99">
        <f>IF(CAIXA.Modo,BM!X65,DADOS!F51)</f>
        <v>0</v>
      </c>
      <c r="N32" s="699"/>
      <c r="O32" s="699"/>
    </row>
    <row r="33" spans="5:15" x14ac:dyDescent="0.2">
      <c r="L33" s="78" t="s">
        <v>110</v>
      </c>
      <c r="M33" s="699">
        <f>IF(CAIXA.Modo,BM!X66,DADOS!F52)</f>
        <v>0</v>
      </c>
      <c r="N33" s="699"/>
      <c r="O33" s="699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98"/>
      <c r="G38" s="698"/>
      <c r="L38" s="78" t="s">
        <v>109</v>
      </c>
      <c r="M38" s="698"/>
      <c r="N38" s="698"/>
      <c r="O38" s="698"/>
    </row>
    <row r="39" spans="5:15" x14ac:dyDescent="0.2">
      <c r="E39" s="78" t="str">
        <f>IF(CAIXA.Modo,"Função:","Cargo:")</f>
        <v>Cargo:</v>
      </c>
      <c r="F39" s="698"/>
      <c r="G39" s="698"/>
      <c r="L39" s="78" t="str">
        <f>IF(CAIXA.Modo,"Função:","Cargo:")</f>
        <v>Cargo:</v>
      </c>
      <c r="M39" s="698"/>
      <c r="N39" s="698"/>
      <c r="O39" s="698"/>
    </row>
    <row r="40" spans="5:15" x14ac:dyDescent="0.2">
      <c r="E40" s="78" t="str">
        <f>IF(CAIXA.Modo,"Matr:","")</f>
        <v/>
      </c>
      <c r="F40" s="698"/>
      <c r="G40" s="698"/>
      <c r="L40" s="78" t="str">
        <f>IF(CAIXA.Modo,"Matrícula:","")</f>
        <v/>
      </c>
      <c r="M40" s="698"/>
      <c r="N40" s="698"/>
      <c r="O40" s="698"/>
    </row>
  </sheetData>
  <sheetProtection password="BD1F" sheet="1" objects="1" scenarios="1" autoFilter="0"/>
  <autoFilter ref="D13:D21"/>
  <mergeCells count="40"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  <mergeCell ref="J18:K18"/>
    <mergeCell ref="J19:K19"/>
    <mergeCell ref="O20:P20"/>
    <mergeCell ref="M39:O39"/>
    <mergeCell ref="AC10:AH10"/>
    <mergeCell ref="AJ10:AO10"/>
    <mergeCell ref="Y11:Z11"/>
    <mergeCell ref="AC11:AE11"/>
    <mergeCell ref="AF11:AH11"/>
    <mergeCell ref="AJ11:AL11"/>
    <mergeCell ref="AM11:AO11"/>
    <mergeCell ref="D7:D11"/>
    <mergeCell ref="E7:H7"/>
    <mergeCell ref="I7:L7"/>
    <mergeCell ref="G9:H9"/>
    <mergeCell ref="I9:J9"/>
    <mergeCell ref="L9:L10"/>
    <mergeCell ref="G10:H10"/>
    <mergeCell ref="E6:H6"/>
    <mergeCell ref="I6:L6"/>
    <mergeCell ref="E3:H3"/>
    <mergeCell ref="I3:K3"/>
    <mergeCell ref="E4:H4"/>
    <mergeCell ref="I4:K4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34"/>
      <c r="C1" s="734"/>
      <c r="D1" s="50"/>
      <c r="E1" s="50"/>
      <c r="F1" s="50"/>
      <c r="G1" s="53" t="s">
        <v>141</v>
      </c>
    </row>
    <row r="2" spans="2:17" x14ac:dyDescent="0.2">
      <c r="B2" s="734"/>
      <c r="C2" s="734"/>
      <c r="D2" s="50"/>
      <c r="E2" s="50"/>
      <c r="F2" s="50"/>
      <c r="G2" s="12" t="s">
        <v>384</v>
      </c>
    </row>
    <row r="3" spans="2:17" ht="26.1" customHeight="1" thickBot="1" x14ac:dyDescent="0.25">
      <c r="B3" s="734"/>
      <c r="C3" s="734"/>
      <c r="D3" s="50"/>
      <c r="E3" s="50"/>
      <c r="F3" s="50"/>
      <c r="G3" s="441"/>
      <c r="I3" s="442" t="s">
        <v>385</v>
      </c>
    </row>
    <row r="4" spans="2:17" ht="12.75" customHeight="1" x14ac:dyDescent="0.2">
      <c r="B4" s="734"/>
      <c r="C4" s="734"/>
      <c r="D4" s="50"/>
      <c r="E4" s="50"/>
      <c r="F4" s="50"/>
      <c r="G4" s="50"/>
      <c r="I4" s="735" t="s">
        <v>386</v>
      </c>
      <c r="J4" s="737" t="s">
        <v>387</v>
      </c>
      <c r="K4" s="737" t="s">
        <v>388</v>
      </c>
      <c r="L4" s="729" t="s">
        <v>389</v>
      </c>
    </row>
    <row r="5" spans="2:17" x14ac:dyDescent="0.2">
      <c r="I5" s="736"/>
      <c r="J5" s="738"/>
      <c r="K5" s="738"/>
      <c r="L5" s="730"/>
    </row>
    <row r="6" spans="2:17" x14ac:dyDescent="0.2">
      <c r="B6" s="443" t="s">
        <v>390</v>
      </c>
      <c r="C6" s="731"/>
      <c r="D6" s="731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32" t="str">
        <f ca="1">CONCATENATE(RRE!$E$26,", ",TEXT(RRE!$L$26,"dd"" de ""mmmm"" de ""aaaa"))</f>
        <v>Caçapava do Sul/RS, 14 de agosto de 2024</v>
      </c>
      <c r="C8" s="732"/>
      <c r="D8" s="732"/>
      <c r="E8" s="732"/>
      <c r="F8" s="732"/>
      <c r="G8" s="732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33" t="s">
        <v>392</v>
      </c>
      <c r="C10" s="733"/>
      <c r="D10" s="733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98"/>
      <c r="D11" s="698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33" t="str">
        <f ca="1">CONCATENATE(RRE.Numero,"ª"," Solicitação de ",IF(import.recurso="OGU","Desbloqueio","Desembolso")," de Recursos.")</f>
        <v>1ª Solicitação de Desbloqueio de Recursos.</v>
      </c>
      <c r="D14" s="733"/>
      <c r="E14" s="733"/>
      <c r="F14" s="733"/>
      <c r="G14" s="733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43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43"/>
      <c r="E15" s="743"/>
      <c r="F15" s="743"/>
      <c r="G15" s="743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43"/>
      <c r="D16" s="743"/>
      <c r="E16" s="743"/>
      <c r="F16" s="743"/>
      <c r="G16" s="743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39" t="str">
        <f>Import.DescLote</f>
        <v>Lote Único - Empreitada Preço Global</v>
      </c>
      <c r="D18" s="739"/>
      <c r="E18" s="739"/>
      <c r="F18" s="739"/>
      <c r="G18" s="739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41" t="s">
        <v>396</v>
      </c>
      <c r="C19" s="742" t="str">
        <f>Import.Proponente</f>
        <v>Prefeitura Municipal de Caçapava do Sul</v>
      </c>
      <c r="D19" s="742"/>
      <c r="E19" s="742"/>
      <c r="F19" s="742"/>
      <c r="G19" s="742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41"/>
      <c r="C20" s="742"/>
      <c r="D20" s="742"/>
      <c r="E20" s="742"/>
      <c r="F20" s="742"/>
      <c r="G20" s="742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39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39"/>
      <c r="D24" s="739"/>
      <c r="E24" s="739"/>
      <c r="F24" s="739"/>
      <c r="G24" s="739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39"/>
      <c r="C25" s="739"/>
      <c r="D25" s="739"/>
      <c r="E25" s="739"/>
      <c r="F25" s="739"/>
      <c r="G25" s="739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39"/>
      <c r="C26" s="739"/>
      <c r="D26" s="739"/>
      <c r="E26" s="739"/>
      <c r="F26" s="739"/>
      <c r="G26" s="739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40"/>
      <c r="C28" s="740"/>
      <c r="D28" s="744" t="s">
        <v>397</v>
      </c>
      <c r="E28" s="744" t="str">
        <f ca="1">"Evolução da "&amp;RRE.Numero&amp;"ª Medição"</f>
        <v>Evolução da 1ª Medição</v>
      </c>
      <c r="F28" s="745" t="s">
        <v>398</v>
      </c>
      <c r="G28" s="745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40"/>
      <c r="C29" s="740"/>
      <c r="D29" s="744"/>
      <c r="E29" s="744"/>
      <c r="F29" s="745"/>
      <c r="G29" s="745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46" t="str">
        <f>IF(import.recurso="FGTS","Financiamento:","Repasse:")</f>
        <v>Repasse:</v>
      </c>
      <c r="C30" s="746"/>
      <c r="D30" s="448">
        <f ca="1">RRE!L16</f>
        <v>0</v>
      </c>
      <c r="E30" s="448" t="e">
        <f ca="1">RRE!N16</f>
        <v>#DIV/0!</v>
      </c>
      <c r="F30" s="747" t="e">
        <f ca="1">RRE!O16</f>
        <v>#DIV/0!</v>
      </c>
      <c r="G30" s="747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46" t="s">
        <v>399</v>
      </c>
      <c r="C31" s="746"/>
      <c r="D31" s="448">
        <f ca="1">RRE!L17</f>
        <v>0</v>
      </c>
      <c r="E31" s="448" t="e">
        <f ca="1">RRE!N17</f>
        <v>#DIV/0!</v>
      </c>
      <c r="F31" s="747" t="e">
        <f ca="1">RRE!O17</f>
        <v>#DIV/0!</v>
      </c>
      <c r="G31" s="747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46" t="s">
        <v>287</v>
      </c>
      <c r="C32" s="746"/>
      <c r="D32" s="448">
        <f ca="1">RRE!L18</f>
        <v>0</v>
      </c>
      <c r="E32" s="448" t="e">
        <f ca="1">RRE!N18</f>
        <v>#DIV/0!</v>
      </c>
      <c r="F32" s="747" t="e">
        <f ca="1">RRE!O18</f>
        <v>#DIV/0!</v>
      </c>
      <c r="G32" s="747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46" t="s">
        <v>288</v>
      </c>
      <c r="C33" s="746"/>
      <c r="D33" s="448">
        <f ca="1">RRE!L19</f>
        <v>0</v>
      </c>
      <c r="E33" s="448" t="e">
        <f ca="1">RRE!N19</f>
        <v>#DIV/0!</v>
      </c>
      <c r="F33" s="747" t="e">
        <f ca="1">RRE!O19</f>
        <v>#DIV/0!</v>
      </c>
      <c r="G33" s="747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50" t="s">
        <v>400</v>
      </c>
      <c r="C34" s="750"/>
      <c r="D34" s="449" t="s">
        <v>168</v>
      </c>
      <c r="E34" s="450" t="e">
        <f ca="1">RRE!$N$19/(RRE!$L$19+10^-12)</f>
        <v>#DIV/0!</v>
      </c>
      <c r="F34" s="751" t="e">
        <f ca="1">RRE!P15</f>
        <v>#DIV/0!</v>
      </c>
      <c r="G34" s="751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52" t="str">
        <f ca="1">IF(RRE.Numero&gt;1,"2. Encaminhamos ainda a documentação relativa à prestação de contas da etapa físico-financeira anterior.","")</f>
        <v/>
      </c>
      <c r="C37" s="752"/>
      <c r="D37" s="752"/>
      <c r="E37" s="752"/>
      <c r="F37" s="752"/>
      <c r="G37" s="752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52"/>
      <c r="C38" s="752"/>
      <c r="D38" s="752"/>
      <c r="E38" s="752"/>
      <c r="F38" s="752"/>
      <c r="G38" s="752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52" t="str">
        <f ca="1">IF(AND(RRE.Numero&gt;1,NOT(ISBLANK(Import.SICONV))),"3. Na oportunidade, informamos que a execução financeira da parcela anterior está devidamente comprovada no SICONV.","")</f>
        <v/>
      </c>
      <c r="C39" s="752"/>
      <c r="D39" s="752"/>
      <c r="E39" s="752"/>
      <c r="F39" s="752"/>
      <c r="G39" s="752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52"/>
      <c r="C40" s="752"/>
      <c r="D40" s="752"/>
      <c r="E40" s="752"/>
      <c r="F40" s="752"/>
      <c r="G40" s="752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52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52"/>
      <c r="D42" s="752"/>
      <c r="E42" s="752"/>
      <c r="F42" s="752"/>
      <c r="G42" s="752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52"/>
      <c r="C43" s="752"/>
      <c r="D43" s="752"/>
      <c r="E43" s="752"/>
      <c r="F43" s="752"/>
      <c r="G43" s="752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52"/>
      <c r="C44" s="752"/>
      <c r="D44" s="752"/>
      <c r="E44" s="752"/>
      <c r="F44" s="752"/>
      <c r="G44" s="752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52"/>
      <c r="C45" s="752"/>
      <c r="D45" s="752"/>
      <c r="E45" s="752"/>
      <c r="F45" s="752"/>
      <c r="G45" s="752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52"/>
      <c r="C46" s="752"/>
      <c r="D46" s="752"/>
      <c r="E46" s="752"/>
      <c r="F46" s="752"/>
      <c r="G46" s="752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48" t="str">
        <f>DADOS!$F$28</f>
        <v>Giovani Amestoy da Silva</v>
      </c>
      <c r="C54" s="748"/>
      <c r="D54" s="748"/>
      <c r="E54" s="748"/>
      <c r="F54" s="748"/>
      <c r="G54" s="748"/>
    </row>
    <row r="55" spans="2:7" x14ac:dyDescent="0.2">
      <c r="B55" s="748" t="str">
        <f>DADOS!$F$29</f>
        <v>Prefeito Municipal</v>
      </c>
      <c r="C55" s="748"/>
      <c r="D55" s="748"/>
      <c r="E55" s="748"/>
      <c r="F55" s="748"/>
      <c r="G55" s="748"/>
    </row>
    <row r="56" spans="2:7" x14ac:dyDescent="0.2">
      <c r="B56" s="749"/>
      <c r="C56" s="749"/>
      <c r="D56" s="749"/>
      <c r="E56" s="749"/>
      <c r="F56" s="749"/>
      <c r="G56" s="749"/>
    </row>
  </sheetData>
  <sheetProtection password="BD1F" sheet="1" objects="1" scenarios="1" autoFilter="0"/>
  <mergeCells count="34">
    <mergeCell ref="B55:G56"/>
    <mergeCell ref="B33:C33"/>
    <mergeCell ref="F33:G33"/>
    <mergeCell ref="B34:C34"/>
    <mergeCell ref="F34:G34"/>
    <mergeCell ref="B37:G38"/>
    <mergeCell ref="B39:G40"/>
    <mergeCell ref="B42:G46"/>
    <mergeCell ref="B31:C31"/>
    <mergeCell ref="F31:G31"/>
    <mergeCell ref="B30:C30"/>
    <mergeCell ref="F30:G30"/>
    <mergeCell ref="B54:G54"/>
    <mergeCell ref="B32:C32"/>
    <mergeCell ref="F32:G32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L4:L5"/>
    <mergeCell ref="C6:D6"/>
    <mergeCell ref="B8:G8"/>
    <mergeCell ref="B10:D10"/>
    <mergeCell ref="B1:C4"/>
    <mergeCell ref="I4:I5"/>
    <mergeCell ref="J4:J5"/>
    <mergeCell ref="K4:K5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3" activePane="bottomLeft" state="frozen"/>
      <selection pane="bottomLeft" activeCell="F17" sqref="F17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91" t="s">
        <v>6</v>
      </c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90" t="s">
        <v>25</v>
      </c>
      <c r="F3" s="590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90" t="s">
        <v>103</v>
      </c>
      <c r="F15" s="590"/>
      <c r="J15" s="13" t="s">
        <v>20</v>
      </c>
    </row>
    <row r="16" spans="5:44" x14ac:dyDescent="0.2">
      <c r="E16" s="25" t="s">
        <v>104</v>
      </c>
      <c r="F16" s="26" t="s">
        <v>500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90" t="s">
        <v>108</v>
      </c>
      <c r="F21" s="590"/>
      <c r="J21" s="13"/>
    </row>
    <row r="22" spans="5:10" x14ac:dyDescent="0.2">
      <c r="E22" s="16" t="s">
        <v>109</v>
      </c>
      <c r="F22" s="32" t="s">
        <v>472</v>
      </c>
    </row>
    <row r="23" spans="5:10" x14ac:dyDescent="0.2">
      <c r="E23" s="18" t="s">
        <v>110</v>
      </c>
      <c r="F23" s="19" t="s">
        <v>473</v>
      </c>
    </row>
    <row r="24" spans="5:10" x14ac:dyDescent="0.2">
      <c r="E24" s="18" t="s">
        <v>111</v>
      </c>
      <c r="F24" s="19" t="s">
        <v>479</v>
      </c>
    </row>
    <row r="25" spans="5:10" x14ac:dyDescent="0.2">
      <c r="E25" s="22" t="s">
        <v>112</v>
      </c>
      <c r="F25" s="33">
        <f ca="1">TODAY()</f>
        <v>45518</v>
      </c>
    </row>
    <row r="27" spans="5:10" ht="15" x14ac:dyDescent="0.2">
      <c r="E27" s="590" t="s">
        <v>113</v>
      </c>
      <c r="F27" s="590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90" t="s">
        <v>116</v>
      </c>
      <c r="F34" s="590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90" t="s">
        <v>124</v>
      </c>
      <c r="F45" s="590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45518</v>
      </c>
    </row>
    <row r="48" spans="5:6" ht="15.75" x14ac:dyDescent="0.2">
      <c r="E48" s="8"/>
    </row>
    <row r="49" spans="5:6" ht="12.75" customHeight="1" x14ac:dyDescent="0.2">
      <c r="E49" s="590" t="s">
        <v>127</v>
      </c>
      <c r="F49" s="590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90" t="s">
        <v>132</v>
      </c>
      <c r="F58" s="590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510" priority="2" stopIfTrue="1">
      <formula>CAIXA.Modo=FALSE</formula>
    </cfRule>
  </conditionalFormatting>
  <conditionalFormatting sqref="E58:F60">
    <cfRule type="expression" dxfId="509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4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593" t="s">
        <v>141</v>
      </c>
      <c r="S1" s="593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594" t="s">
        <v>144</v>
      </c>
      <c r="S2" s="594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595" t="s">
        <v>147</v>
      </c>
      <c r="K4" s="595"/>
      <c r="L4" s="595" t="s">
        <v>148</v>
      </c>
      <c r="M4" s="595"/>
      <c r="N4" s="595" t="s">
        <v>149</v>
      </c>
      <c r="O4" s="595"/>
      <c r="P4" s="595"/>
      <c r="Q4" s="595"/>
      <c r="R4" s="595"/>
      <c r="S4" s="595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592">
        <f>Import.CR</f>
        <v>0</v>
      </c>
      <c r="K5" s="592"/>
      <c r="L5" s="592">
        <f>Import.SICONV</f>
        <v>0</v>
      </c>
      <c r="M5" s="592"/>
      <c r="N5" s="592" t="str">
        <f>Import.Proponente</f>
        <v>Prefeitura Municipal de Caçapava do Sul</v>
      </c>
      <c r="O5" s="592"/>
      <c r="P5" s="592"/>
      <c r="Q5" s="592"/>
      <c r="R5" s="592"/>
      <c r="S5" s="592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621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621"/>
      <c r="J7" s="595" t="s">
        <v>153</v>
      </c>
      <c r="K7" s="595"/>
      <c r="L7" s="595"/>
      <c r="M7" s="595"/>
      <c r="N7" s="595"/>
      <c r="O7" s="595"/>
      <c r="P7" s="595"/>
      <c r="Q7" s="595"/>
      <c r="R7" s="595"/>
      <c r="S7" s="595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621"/>
      <c r="J8" s="601" t="str">
        <f>Import.Apelido&amp;" / "&amp;Import.DescLote</f>
        <v>Calçamento da Rua General Neto / Lote Único - Empreitada Preço Global</v>
      </c>
      <c r="K8" s="601"/>
      <c r="L8" s="601"/>
      <c r="M8" s="601"/>
      <c r="N8" s="601"/>
      <c r="O8" s="601"/>
      <c r="P8" s="601"/>
      <c r="Q8" s="601"/>
      <c r="R8" s="601"/>
      <c r="S8" s="601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621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621"/>
      <c r="J10" s="602" t="s">
        <v>155</v>
      </c>
      <c r="K10" s="602"/>
      <c r="L10" s="602"/>
      <c r="M10" s="602"/>
      <c r="N10" s="602"/>
      <c r="O10" s="602"/>
      <c r="P10" s="602"/>
      <c r="Q10" s="602"/>
      <c r="R10" s="600">
        <v>1</v>
      </c>
      <c r="S10" s="600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599" t="s">
        <v>156</v>
      </c>
      <c r="K11" s="599"/>
      <c r="L11" s="599"/>
      <c r="M11" s="599"/>
      <c r="N11" s="599"/>
      <c r="O11" s="599"/>
      <c r="P11" s="599"/>
      <c r="Q11" s="599"/>
      <c r="R11" s="600">
        <v>0.03</v>
      </c>
      <c r="S11" s="600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13" t="s">
        <v>158</v>
      </c>
      <c r="K14" s="613"/>
      <c r="L14" s="613"/>
      <c r="M14" s="613"/>
      <c r="N14" s="613"/>
      <c r="O14" s="613"/>
      <c r="P14" s="613"/>
      <c r="Q14" s="613"/>
      <c r="R14" s="613"/>
      <c r="S14" s="613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595" t="s">
        <v>159</v>
      </c>
      <c r="K16" s="595"/>
      <c r="L16" s="595"/>
      <c r="M16" s="595"/>
      <c r="N16" s="595"/>
      <c r="O16" s="595"/>
      <c r="P16" s="595"/>
      <c r="Q16" s="595"/>
      <c r="R16" s="595"/>
      <c r="S16" s="595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05" t="s">
        <v>154</v>
      </c>
      <c r="K17" s="605"/>
      <c r="L17" s="605"/>
      <c r="M17" s="605"/>
      <c r="N17" s="605"/>
      <c r="O17" s="605"/>
      <c r="P17" s="605"/>
      <c r="Q17" s="605"/>
      <c r="R17" s="605"/>
      <c r="S17" s="605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598" t="s">
        <v>160</v>
      </c>
      <c r="K19" s="598"/>
      <c r="L19" s="598"/>
      <c r="M19" s="598"/>
      <c r="N19" s="598"/>
      <c r="O19" s="598"/>
      <c r="P19" s="598"/>
      <c r="Q19" s="598"/>
      <c r="R19" s="598" t="s">
        <v>161</v>
      </c>
      <c r="S19" s="597" t="s">
        <v>162</v>
      </c>
      <c r="U19" s="597" t="s">
        <v>163</v>
      </c>
      <c r="V19" s="597"/>
      <c r="W19" s="597"/>
      <c r="X19" s="596" t="s">
        <v>164</v>
      </c>
      <c r="Y19" s="596" t="s">
        <v>165</v>
      </c>
      <c r="Z19" s="596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598"/>
      <c r="K20" s="598"/>
      <c r="L20" s="598"/>
      <c r="M20" s="598"/>
      <c r="N20" s="598"/>
      <c r="O20" s="598"/>
      <c r="P20" s="598"/>
      <c r="Q20" s="598"/>
      <c r="R20" s="598"/>
      <c r="S20" s="597"/>
      <c r="U20" s="597"/>
      <c r="V20" s="597"/>
      <c r="W20" s="597"/>
      <c r="X20" s="596"/>
      <c r="Y20" s="596"/>
      <c r="Z20" s="596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603" t="str">
        <f>IF($J$17=$A$146,"Encargos Sociais incidentes sobre a mão de obra","Administração Central")</f>
        <v>Administração Central</v>
      </c>
      <c r="K21" s="603"/>
      <c r="L21" s="603"/>
      <c r="M21" s="603"/>
      <c r="N21" s="603"/>
      <c r="O21" s="603"/>
      <c r="P21" s="603"/>
      <c r="Q21" s="603"/>
      <c r="R21" s="61" t="str">
        <f>IF($J17=$A$146,"K1","AC")</f>
        <v>AC</v>
      </c>
      <c r="S21" s="62">
        <v>4.0099999999999997E-2</v>
      </c>
      <c r="U21" s="604" t="s">
        <v>168</v>
      </c>
      <c r="V21" s="604"/>
      <c r="W21" s="604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603" t="str">
        <f>IF($J$17=$A$146,"Administração Central da empresa ou consultoria - overhead","Seguro e Garantia")</f>
        <v>Seguro e Garantia</v>
      </c>
      <c r="K22" s="603"/>
      <c r="L22" s="603"/>
      <c r="M22" s="603"/>
      <c r="N22" s="603"/>
      <c r="O22" s="603"/>
      <c r="P22" s="603"/>
      <c r="Q22" s="603"/>
      <c r="R22" s="61" t="str">
        <f>IF($J17=$A$146,"K2","SG")</f>
        <v>SG</v>
      </c>
      <c r="S22" s="62">
        <v>7.4000000000000003E-3</v>
      </c>
      <c r="U22" s="604" t="s">
        <v>168</v>
      </c>
      <c r="V22" s="604"/>
      <c r="W22" s="604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603" t="str">
        <f>IF($J$17=$A$146,"","Risco")</f>
        <v>Risco</v>
      </c>
      <c r="K23" s="603"/>
      <c r="L23" s="603"/>
      <c r="M23" s="603"/>
      <c r="N23" s="603"/>
      <c r="O23" s="603"/>
      <c r="P23" s="603"/>
      <c r="Q23" s="603"/>
      <c r="R23" s="61" t="str">
        <f>IF($J17=$A$146,"","R")</f>
        <v>R</v>
      </c>
      <c r="S23" s="62">
        <v>9.7000000000000003E-3</v>
      </c>
      <c r="U23" s="604" t="s">
        <v>168</v>
      </c>
      <c r="V23" s="604"/>
      <c r="W23" s="604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603" t="str">
        <f>IF($J$17=$A$146,"","Despesas Financeiras")</f>
        <v>Despesas Financeiras</v>
      </c>
      <c r="K24" s="603"/>
      <c r="L24" s="603"/>
      <c r="M24" s="603"/>
      <c r="N24" s="603"/>
      <c r="O24" s="603"/>
      <c r="P24" s="603"/>
      <c r="Q24" s="603"/>
      <c r="R24" s="61" t="str">
        <f>IF($J17=$A$146,"","DF")</f>
        <v>DF</v>
      </c>
      <c r="S24" s="62">
        <v>1.11E-2</v>
      </c>
      <c r="U24" s="604" t="s">
        <v>168</v>
      </c>
      <c r="V24" s="604"/>
      <c r="W24" s="604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603" t="str">
        <f>IF($J$17=$A$146,"Margem bruta da empresa de consultoria","Lucro")</f>
        <v>Lucro</v>
      </c>
      <c r="K25" s="603"/>
      <c r="L25" s="603"/>
      <c r="M25" s="603"/>
      <c r="N25" s="603"/>
      <c r="O25" s="603"/>
      <c r="P25" s="603"/>
      <c r="Q25" s="603"/>
      <c r="R25" s="61" t="str">
        <f>IF($J17=$A$146,"K3","L")</f>
        <v>L</v>
      </c>
      <c r="S25" s="62">
        <v>7.2999999999999995E-2</v>
      </c>
      <c r="U25" s="604" t="s">
        <v>168</v>
      </c>
      <c r="V25" s="604"/>
      <c r="W25" s="604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603" t="s">
        <v>170</v>
      </c>
      <c r="K26" s="603"/>
      <c r="L26" s="603"/>
      <c r="M26" s="603"/>
      <c r="N26" s="603"/>
      <c r="O26" s="603"/>
      <c r="P26" s="603"/>
      <c r="Q26" s="603"/>
      <c r="R26" s="61" t="s">
        <v>171</v>
      </c>
      <c r="S26" s="62">
        <v>3.6499999999999998E-2</v>
      </c>
      <c r="U26" s="604" t="s">
        <v>168</v>
      </c>
      <c r="V26" s="604"/>
      <c r="W26" s="604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603" t="s">
        <v>172</v>
      </c>
      <c r="K27" s="603"/>
      <c r="L27" s="603"/>
      <c r="M27" s="603"/>
      <c r="N27" s="603"/>
      <c r="O27" s="603"/>
      <c r="P27" s="603"/>
      <c r="Q27" s="603"/>
      <c r="R27" s="61" t="s">
        <v>173</v>
      </c>
      <c r="S27" s="63">
        <f ca="1">IF(AND($J17&lt;&gt;$A$145,COUNTA(OFFSET(S20,1,0,6))&gt;0),$R$11*$R$10,0)</f>
        <v>0.03</v>
      </c>
      <c r="U27" s="604" t="s">
        <v>168</v>
      </c>
      <c r="V27" s="604"/>
      <c r="W27" s="604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603" t="s">
        <v>174</v>
      </c>
      <c r="K28" s="603"/>
      <c r="L28" s="603"/>
      <c r="M28" s="603"/>
      <c r="N28" s="603"/>
      <c r="O28" s="603"/>
      <c r="P28" s="603"/>
      <c r="Q28" s="603"/>
      <c r="R28" s="61" t="s">
        <v>175</v>
      </c>
      <c r="S28" s="63">
        <f ca="1">IF(BDI.Opcao&lt;&gt;"Desonerado",0,IF(AND($J17&lt;&gt;$A$145,COUNTA(OFFSET(S20,1,0,6))&gt;0),4.5%,0%))</f>
        <v>0</v>
      </c>
      <c r="U28" s="604" t="s">
        <v>168</v>
      </c>
      <c r="V28" s="604"/>
      <c r="W28" s="604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603" t="s">
        <v>176</v>
      </c>
      <c r="K29" s="603"/>
      <c r="L29" s="603"/>
      <c r="M29" s="603"/>
      <c r="N29" s="603"/>
      <c r="O29" s="603"/>
      <c r="P29" s="603"/>
      <c r="Q29" s="603"/>
      <c r="R29" s="65" t="s">
        <v>152</v>
      </c>
      <c r="S29" s="63">
        <f ca="1">IF($J17=$A$145,0,ROUND((((1+S21+S22+S23)*(1+S24)*(1+S25)/(1-(S26+S27)))-1),4))</f>
        <v>0.22869999999999999</v>
      </c>
      <c r="U29" s="597" t="str">
        <f ca="1">IF(OR($J$17=$A$146,$J$17=$A$145,AND(S29&gt;=X29,S29&lt;=Z29)),"OK","FORA DO INTERVALO")</f>
        <v>OK</v>
      </c>
      <c r="V29" s="597"/>
      <c r="W29" s="597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608" t="s">
        <v>177</v>
      </c>
      <c r="K30" s="608"/>
      <c r="L30" s="608"/>
      <c r="M30" s="608"/>
      <c r="N30" s="608"/>
      <c r="O30" s="608"/>
      <c r="P30" s="608"/>
      <c r="Q30" s="608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09" t="str">
        <f ca="1">IF(U29&lt;&gt;"ok","Anexo: Relatório Técnico Circunstanciado justificando a adoção do percentual de cada parcela do BDI.","")</f>
        <v/>
      </c>
      <c r="L32" s="609"/>
      <c r="M32" s="609"/>
      <c r="N32" s="609"/>
      <c r="O32" s="609"/>
      <c r="P32" s="609"/>
      <c r="Q32" s="609"/>
      <c r="R32" s="609"/>
      <c r="S32" s="609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10" t="s">
        <v>180</v>
      </c>
      <c r="K34" s="610"/>
      <c r="L34" s="610"/>
      <c r="M34" s="610"/>
      <c r="N34" s="610"/>
      <c r="O34" s="610"/>
      <c r="P34" s="610"/>
      <c r="Q34" s="610"/>
      <c r="R34" s="610"/>
      <c r="S34" s="610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11" t="s">
        <v>181</v>
      </c>
      <c r="N35" s="618" t="str">
        <f>IF($J17=$A$146,"(1+K1+K2)*(1+K3)","(1+AC + S + R + G)*(1 + DF)*(1+L)")</f>
        <v>(1+AC + S + R + G)*(1 + DF)*(1+L)</v>
      </c>
      <c r="O35" s="618"/>
      <c r="P35" s="618"/>
      <c r="Q35" s="619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11"/>
      <c r="N36" s="606" t="s">
        <v>183</v>
      </c>
      <c r="O36" s="606"/>
      <c r="P36" s="606"/>
      <c r="Q36" s="619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60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607"/>
      <c r="L38" s="607"/>
      <c r="M38" s="607"/>
      <c r="N38" s="607"/>
      <c r="O38" s="607"/>
      <c r="P38" s="607"/>
      <c r="Q38" s="607"/>
      <c r="R38" s="607"/>
      <c r="S38" s="607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60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607"/>
      <c r="L40" s="607"/>
      <c r="M40" s="607"/>
      <c r="N40" s="607"/>
      <c r="O40" s="607"/>
      <c r="P40" s="607"/>
      <c r="Q40" s="607"/>
      <c r="R40" s="607"/>
      <c r="S40" s="607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620" t="s">
        <v>482</v>
      </c>
      <c r="K43" s="620"/>
      <c r="L43" s="620"/>
      <c r="M43" s="620"/>
      <c r="N43" s="620"/>
      <c r="O43" s="620"/>
      <c r="P43" s="620"/>
      <c r="Q43" s="620"/>
      <c r="R43" s="620"/>
      <c r="S43" s="620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614" t="str">
        <f>Import.Município</f>
        <v>Caçapava do Sul/RS</v>
      </c>
      <c r="K45" s="614"/>
      <c r="L45" s="614"/>
      <c r="M45" s="614"/>
      <c r="P45" s="615">
        <f ca="1">DADOS!$F$25</f>
        <v>45518</v>
      </c>
      <c r="Q45" s="615"/>
      <c r="R45" s="615"/>
      <c r="S45" s="615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616" t="s">
        <v>190</v>
      </c>
      <c r="K46" s="616"/>
      <c r="L46" s="616"/>
      <c r="M46" s="616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617"/>
      <c r="K48" s="617"/>
      <c r="L48" s="617"/>
      <c r="M48" s="617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612" t="s">
        <v>192</v>
      </c>
      <c r="K49" s="612"/>
      <c r="L49" s="612"/>
      <c r="M49" s="612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13" t="s">
        <v>193</v>
      </c>
      <c r="K54" s="613"/>
      <c r="L54" s="613"/>
      <c r="M54" s="613"/>
      <c r="N54" s="613"/>
      <c r="O54" s="613"/>
      <c r="P54" s="613"/>
      <c r="Q54" s="613"/>
      <c r="R54" s="613"/>
      <c r="S54" s="613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595" t="s">
        <v>159</v>
      </c>
      <c r="K56" s="595"/>
      <c r="L56" s="595"/>
      <c r="M56" s="595"/>
      <c r="N56" s="595"/>
      <c r="O56" s="595"/>
      <c r="P56" s="595"/>
      <c r="Q56" s="595"/>
      <c r="R56" s="595"/>
      <c r="S56" s="595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05" t="s">
        <v>410</v>
      </c>
      <c r="K57" s="605"/>
      <c r="L57" s="605"/>
      <c r="M57" s="605"/>
      <c r="N57" s="605"/>
      <c r="O57" s="605"/>
      <c r="P57" s="605"/>
      <c r="Q57" s="605"/>
      <c r="R57" s="605"/>
      <c r="S57" s="605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598" t="s">
        <v>160</v>
      </c>
      <c r="K59" s="598"/>
      <c r="L59" s="598"/>
      <c r="M59" s="598"/>
      <c r="N59" s="598"/>
      <c r="O59" s="598"/>
      <c r="P59" s="598"/>
      <c r="Q59" s="598"/>
      <c r="R59" s="598" t="s">
        <v>161</v>
      </c>
      <c r="S59" s="597" t="s">
        <v>162</v>
      </c>
      <c r="U59" s="597" t="s">
        <v>163</v>
      </c>
      <c r="V59" s="597"/>
      <c r="W59" s="597"/>
      <c r="X59" s="596" t="s">
        <v>164</v>
      </c>
      <c r="Y59" s="596" t="s">
        <v>165</v>
      </c>
      <c r="Z59" s="596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598"/>
      <c r="K60" s="598"/>
      <c r="L60" s="598"/>
      <c r="M60" s="598"/>
      <c r="N60" s="598"/>
      <c r="O60" s="598"/>
      <c r="P60" s="598"/>
      <c r="Q60" s="598"/>
      <c r="R60" s="598"/>
      <c r="S60" s="597"/>
      <c r="U60" s="597"/>
      <c r="V60" s="597"/>
      <c r="W60" s="597"/>
      <c r="X60" s="596"/>
      <c r="Y60" s="596"/>
      <c r="Z60" s="596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03" t="str">
        <f>IF($J$17=$A$146,"Encargos Sociais incidentes sobre a mão de obra","Administração Central")</f>
        <v>Administração Central</v>
      </c>
      <c r="K61" s="603"/>
      <c r="L61" s="603"/>
      <c r="M61" s="603"/>
      <c r="N61" s="603"/>
      <c r="O61" s="603"/>
      <c r="P61" s="603"/>
      <c r="Q61" s="603"/>
      <c r="R61" s="61" t="str">
        <f>IF($J57=$A$146,"K1","AC")</f>
        <v>AC</v>
      </c>
      <c r="S61" s="62"/>
      <c r="U61" s="604" t="s">
        <v>168</v>
      </c>
      <c r="V61" s="604"/>
      <c r="W61" s="604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03" t="str">
        <f>IF($J$17=$A$146,"Administração Central da empresa ou consultoria - overhead","Seguro e Garantia")</f>
        <v>Seguro e Garantia</v>
      </c>
      <c r="K62" s="603"/>
      <c r="L62" s="603"/>
      <c r="M62" s="603"/>
      <c r="N62" s="603"/>
      <c r="O62" s="603"/>
      <c r="P62" s="603"/>
      <c r="Q62" s="603"/>
      <c r="R62" s="61" t="str">
        <f>IF($J57=$A$146,"K2","SG")</f>
        <v>SG</v>
      </c>
      <c r="S62" s="62"/>
      <c r="U62" s="604" t="s">
        <v>168</v>
      </c>
      <c r="V62" s="604"/>
      <c r="W62" s="604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03" t="str">
        <f>IF($J$17=$A$146,"","Risco")</f>
        <v>Risco</v>
      </c>
      <c r="K63" s="603"/>
      <c r="L63" s="603"/>
      <c r="M63" s="603"/>
      <c r="N63" s="603"/>
      <c r="O63" s="603"/>
      <c r="P63" s="603"/>
      <c r="Q63" s="603"/>
      <c r="R63" s="61" t="str">
        <f>IF($J57=$A$146,"","R")</f>
        <v>R</v>
      </c>
      <c r="S63" s="62"/>
      <c r="U63" s="604" t="s">
        <v>168</v>
      </c>
      <c r="V63" s="604"/>
      <c r="W63" s="604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03" t="str">
        <f>IF($J$17=$A$146,"","Despesas Financeiras")</f>
        <v>Despesas Financeiras</v>
      </c>
      <c r="K64" s="603"/>
      <c r="L64" s="603"/>
      <c r="M64" s="603"/>
      <c r="N64" s="603"/>
      <c r="O64" s="603"/>
      <c r="P64" s="603"/>
      <c r="Q64" s="603"/>
      <c r="R64" s="61" t="str">
        <f>IF($J57=$A$146,"","DF")</f>
        <v>DF</v>
      </c>
      <c r="S64" s="62"/>
      <c r="U64" s="604" t="s">
        <v>168</v>
      </c>
      <c r="V64" s="604"/>
      <c r="W64" s="604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03" t="str">
        <f>IF($J$17=$A$146,"Margem bruta da empresa de consultoria","Lucro")</f>
        <v>Lucro</v>
      </c>
      <c r="K65" s="603"/>
      <c r="L65" s="603"/>
      <c r="M65" s="603"/>
      <c r="N65" s="603"/>
      <c r="O65" s="603"/>
      <c r="P65" s="603"/>
      <c r="Q65" s="603"/>
      <c r="R65" s="61" t="str">
        <f>IF($J57=$A$146,"K3","L")</f>
        <v>L</v>
      </c>
      <c r="S65" s="62"/>
      <c r="U65" s="604" t="s">
        <v>168</v>
      </c>
      <c r="V65" s="604"/>
      <c r="W65" s="604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03" t="s">
        <v>170</v>
      </c>
      <c r="K66" s="603"/>
      <c r="L66" s="603"/>
      <c r="M66" s="603"/>
      <c r="N66" s="603"/>
      <c r="O66" s="603"/>
      <c r="P66" s="603"/>
      <c r="Q66" s="603"/>
      <c r="R66" s="61" t="s">
        <v>171</v>
      </c>
      <c r="S66" s="62"/>
      <c r="U66" s="604" t="s">
        <v>168</v>
      </c>
      <c r="V66" s="604"/>
      <c r="W66" s="604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03" t="s">
        <v>172</v>
      </c>
      <c r="K67" s="603"/>
      <c r="L67" s="603"/>
      <c r="M67" s="603"/>
      <c r="N67" s="603"/>
      <c r="O67" s="603"/>
      <c r="P67" s="603"/>
      <c r="Q67" s="603"/>
      <c r="R67" s="61" t="s">
        <v>173</v>
      </c>
      <c r="S67" s="63">
        <f ca="1">IF(AND($J57&lt;&gt;$A$145,COUNTA(OFFSET(S60,1,0,6))&gt;0),$R$11*$R$10,0)</f>
        <v>0</v>
      </c>
      <c r="U67" s="604" t="s">
        <v>168</v>
      </c>
      <c r="V67" s="604"/>
      <c r="W67" s="604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03" t="s">
        <v>174</v>
      </c>
      <c r="K68" s="603"/>
      <c r="L68" s="603"/>
      <c r="M68" s="603"/>
      <c r="N68" s="603"/>
      <c r="O68" s="603"/>
      <c r="P68" s="603"/>
      <c r="Q68" s="603"/>
      <c r="R68" s="61" t="s">
        <v>175</v>
      </c>
      <c r="S68" s="63">
        <f ca="1">IF(BDI.Opcao&lt;&gt;"Desonerado",0,IF(AND($J57&lt;&gt;$A$145,COUNTA(OFFSET(S60,1,0,6))&gt;0),4.5%,0%))</f>
        <v>0</v>
      </c>
      <c r="U68" s="604" t="s">
        <v>168</v>
      </c>
      <c r="V68" s="604"/>
      <c r="W68" s="604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03" t="s">
        <v>176</v>
      </c>
      <c r="K69" s="603"/>
      <c r="L69" s="603"/>
      <c r="M69" s="603"/>
      <c r="N69" s="603"/>
      <c r="O69" s="603"/>
      <c r="P69" s="603"/>
      <c r="Q69" s="603"/>
      <c r="R69" s="65" t="s">
        <v>152</v>
      </c>
      <c r="S69" s="63">
        <f ca="1">IF($J57=$A$145,0,ROUND((((1+S61+S62+S63)*(1+S64)*(1+S65)/(1-(S66+S67)))-1),4))</f>
        <v>0</v>
      </c>
      <c r="U69" s="597" t="e">
        <f ca="1">IF(OR($J$17=$A$146,$J$17=$A$145,AND(S69&gt;=X69,S69&lt;=Z69)),"OK","FORA DO INTERVALO")</f>
        <v>#N/A</v>
      </c>
      <c r="V69" s="597"/>
      <c r="W69" s="597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08" t="s">
        <v>177</v>
      </c>
      <c r="K70" s="608"/>
      <c r="L70" s="608"/>
      <c r="M70" s="608"/>
      <c r="N70" s="608"/>
      <c r="O70" s="608"/>
      <c r="P70" s="608"/>
      <c r="Q70" s="608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09" t="e">
        <f ca="1">IF(U69&lt;&gt;"ok","Anexo: Relatório Técnico Circunstanciado justificando a adoção do percentual de cada parcela do BDI.","")</f>
        <v>#N/A</v>
      </c>
      <c r="L72" s="609"/>
      <c r="M72" s="609"/>
      <c r="N72" s="609"/>
      <c r="O72" s="609"/>
      <c r="P72" s="609"/>
      <c r="Q72" s="609"/>
      <c r="R72" s="609"/>
      <c r="S72" s="609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10" t="s">
        <v>180</v>
      </c>
      <c r="K74" s="610"/>
      <c r="L74" s="610"/>
      <c r="M74" s="610"/>
      <c r="N74" s="610"/>
      <c r="O74" s="610"/>
      <c r="P74" s="610"/>
      <c r="Q74" s="610"/>
      <c r="R74" s="610"/>
      <c r="S74" s="610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11" t="s">
        <v>181</v>
      </c>
      <c r="N75" s="618" t="str">
        <f>IF($J57=$A$146,"(1+K1+K2)*(1+K3)","(1+AC + S + R + G)*(1 + DF)*(1+L)")</f>
        <v>(1+AC + S + R + G)*(1 + DF)*(1+L)</v>
      </c>
      <c r="O75" s="618"/>
      <c r="P75" s="618"/>
      <c r="Q75" s="619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11"/>
      <c r="N76" s="606" t="s">
        <v>183</v>
      </c>
      <c r="O76" s="606"/>
      <c r="P76" s="606"/>
      <c r="Q76" s="619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60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607"/>
      <c r="L78" s="607"/>
      <c r="M78" s="607"/>
      <c r="N78" s="607"/>
      <c r="O78" s="607"/>
      <c r="P78" s="607"/>
      <c r="Q78" s="607"/>
      <c r="R78" s="607"/>
      <c r="S78" s="607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60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607"/>
      <c r="L80" s="607"/>
      <c r="M80" s="607"/>
      <c r="N80" s="607"/>
      <c r="O80" s="607"/>
      <c r="P80" s="607"/>
      <c r="Q80" s="607"/>
      <c r="R80" s="607"/>
      <c r="S80" s="607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20"/>
      <c r="K83" s="620"/>
      <c r="L83" s="620"/>
      <c r="M83" s="620"/>
      <c r="N83" s="620"/>
      <c r="O83" s="620"/>
      <c r="P83" s="620"/>
      <c r="Q83" s="620"/>
      <c r="R83" s="620"/>
      <c r="S83" s="620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614" t="str">
        <f>Import.Município</f>
        <v>Caçapava do Sul/RS</v>
      </c>
      <c r="K85" s="614"/>
      <c r="L85" s="614"/>
      <c r="M85" s="614"/>
      <c r="P85" s="615">
        <f ca="1">DADOS!$F$25</f>
        <v>45518</v>
      </c>
      <c r="Q85" s="615"/>
      <c r="R85" s="615"/>
      <c r="S85" s="615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616" t="s">
        <v>190</v>
      </c>
      <c r="K86" s="616"/>
      <c r="L86" s="616"/>
      <c r="M86" s="616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617"/>
      <c r="K88" s="617"/>
      <c r="L88" s="617"/>
      <c r="M88" s="617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612" t="s">
        <v>192</v>
      </c>
      <c r="K89" s="612"/>
      <c r="L89" s="612"/>
      <c r="M89" s="612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13" t="s">
        <v>194</v>
      </c>
      <c r="K94" s="613"/>
      <c r="L94" s="613"/>
      <c r="M94" s="613"/>
      <c r="N94" s="613"/>
      <c r="O94" s="613"/>
      <c r="P94" s="613"/>
      <c r="Q94" s="613"/>
      <c r="R94" s="613"/>
      <c r="S94" s="613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595" t="s">
        <v>159</v>
      </c>
      <c r="K96" s="595"/>
      <c r="L96" s="595"/>
      <c r="M96" s="595"/>
      <c r="N96" s="595"/>
      <c r="O96" s="595"/>
      <c r="P96" s="595"/>
      <c r="Q96" s="595"/>
      <c r="R96" s="595"/>
      <c r="S96" s="595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05" t="s">
        <v>410</v>
      </c>
      <c r="K97" s="605"/>
      <c r="L97" s="605"/>
      <c r="M97" s="605"/>
      <c r="N97" s="605"/>
      <c r="O97" s="605"/>
      <c r="P97" s="605"/>
      <c r="Q97" s="605"/>
      <c r="R97" s="605"/>
      <c r="S97" s="605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598" t="s">
        <v>160</v>
      </c>
      <c r="K99" s="598"/>
      <c r="L99" s="598"/>
      <c r="M99" s="598"/>
      <c r="N99" s="598"/>
      <c r="O99" s="598"/>
      <c r="P99" s="598"/>
      <c r="Q99" s="598"/>
      <c r="R99" s="598" t="s">
        <v>161</v>
      </c>
      <c r="S99" s="597" t="s">
        <v>162</v>
      </c>
      <c r="U99" s="597" t="s">
        <v>163</v>
      </c>
      <c r="V99" s="597"/>
      <c r="W99" s="597"/>
      <c r="X99" s="596" t="s">
        <v>164</v>
      </c>
      <c r="Y99" s="596" t="s">
        <v>165</v>
      </c>
      <c r="Z99" s="596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598"/>
      <c r="K100" s="598"/>
      <c r="L100" s="598"/>
      <c r="M100" s="598"/>
      <c r="N100" s="598"/>
      <c r="O100" s="598"/>
      <c r="P100" s="598"/>
      <c r="Q100" s="598"/>
      <c r="R100" s="598"/>
      <c r="S100" s="597"/>
      <c r="U100" s="597"/>
      <c r="V100" s="597"/>
      <c r="W100" s="597"/>
      <c r="X100" s="596"/>
      <c r="Y100" s="596"/>
      <c r="Z100" s="596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03" t="str">
        <f>IF($J$17=$A$146,"Encargos Sociais incidentes sobre a mão de obra","Administração Central")</f>
        <v>Administração Central</v>
      </c>
      <c r="K101" s="603"/>
      <c r="L101" s="603"/>
      <c r="M101" s="603"/>
      <c r="N101" s="603"/>
      <c r="O101" s="603"/>
      <c r="P101" s="603"/>
      <c r="Q101" s="603"/>
      <c r="R101" s="61" t="str">
        <f>IF($J97=$A$146,"K1","AC")</f>
        <v>AC</v>
      </c>
      <c r="S101" s="62"/>
      <c r="U101" s="604" t="s">
        <v>168</v>
      </c>
      <c r="V101" s="604"/>
      <c r="W101" s="604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03" t="str">
        <f>IF($J$17=$A$146,"Administração Central da empresa ou consultoria - overhead","Seguro e Garantia")</f>
        <v>Seguro e Garantia</v>
      </c>
      <c r="K102" s="603"/>
      <c r="L102" s="603"/>
      <c r="M102" s="603"/>
      <c r="N102" s="603"/>
      <c r="O102" s="603"/>
      <c r="P102" s="603"/>
      <c r="Q102" s="603"/>
      <c r="R102" s="61" t="str">
        <f>IF($J97=$A$146,"K2","SG")</f>
        <v>SG</v>
      </c>
      <c r="S102" s="62"/>
      <c r="U102" s="604" t="s">
        <v>168</v>
      </c>
      <c r="V102" s="604"/>
      <c r="W102" s="604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03" t="str">
        <f>IF($J$17=$A$146,"","Risco")</f>
        <v>Risco</v>
      </c>
      <c r="K103" s="603"/>
      <c r="L103" s="603"/>
      <c r="M103" s="603"/>
      <c r="N103" s="603"/>
      <c r="O103" s="603"/>
      <c r="P103" s="603"/>
      <c r="Q103" s="603"/>
      <c r="R103" s="61" t="str">
        <f>IF($J97=$A$146,"","R")</f>
        <v>R</v>
      </c>
      <c r="S103" s="62"/>
      <c r="U103" s="604" t="s">
        <v>168</v>
      </c>
      <c r="V103" s="604"/>
      <c r="W103" s="604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03" t="str">
        <f>IF($J$17=$A$146,"","Despesas Financeiras")</f>
        <v>Despesas Financeiras</v>
      </c>
      <c r="K104" s="603"/>
      <c r="L104" s="603"/>
      <c r="M104" s="603"/>
      <c r="N104" s="603"/>
      <c r="O104" s="603"/>
      <c r="P104" s="603"/>
      <c r="Q104" s="603"/>
      <c r="R104" s="61" t="str">
        <f>IF($J97=$A$146,"","DF")</f>
        <v>DF</v>
      </c>
      <c r="S104" s="62"/>
      <c r="U104" s="604" t="s">
        <v>168</v>
      </c>
      <c r="V104" s="604"/>
      <c r="W104" s="604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03" t="str">
        <f>IF($J$17=$A$146,"Margem bruta da empresa de consultoria","Lucro")</f>
        <v>Lucro</v>
      </c>
      <c r="K105" s="603"/>
      <c r="L105" s="603"/>
      <c r="M105" s="603"/>
      <c r="N105" s="603"/>
      <c r="O105" s="603"/>
      <c r="P105" s="603"/>
      <c r="Q105" s="603"/>
      <c r="R105" s="61" t="str">
        <f>IF($J97=$A$146,"K3","L")</f>
        <v>L</v>
      </c>
      <c r="S105" s="62"/>
      <c r="U105" s="604" t="s">
        <v>168</v>
      </c>
      <c r="V105" s="604"/>
      <c r="W105" s="604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03" t="s">
        <v>170</v>
      </c>
      <c r="K106" s="603"/>
      <c r="L106" s="603"/>
      <c r="M106" s="603"/>
      <c r="N106" s="603"/>
      <c r="O106" s="603"/>
      <c r="P106" s="603"/>
      <c r="Q106" s="603"/>
      <c r="R106" s="61" t="s">
        <v>171</v>
      </c>
      <c r="S106" s="62"/>
      <c r="U106" s="604" t="s">
        <v>168</v>
      </c>
      <c r="V106" s="604"/>
      <c r="W106" s="604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03" t="s">
        <v>172</v>
      </c>
      <c r="K107" s="603"/>
      <c r="L107" s="603"/>
      <c r="M107" s="603"/>
      <c r="N107" s="603"/>
      <c r="O107" s="603"/>
      <c r="P107" s="603"/>
      <c r="Q107" s="603"/>
      <c r="R107" s="61" t="s">
        <v>173</v>
      </c>
      <c r="S107" s="63">
        <f ca="1">IF(AND($J97&lt;&gt;$A$145,COUNTA(OFFSET(S100,1,0,6))&gt;0),$R$11*$R$10,0)</f>
        <v>0</v>
      </c>
      <c r="U107" s="604" t="s">
        <v>168</v>
      </c>
      <c r="V107" s="604"/>
      <c r="W107" s="604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03" t="s">
        <v>174</v>
      </c>
      <c r="K108" s="603"/>
      <c r="L108" s="603"/>
      <c r="M108" s="603"/>
      <c r="N108" s="603"/>
      <c r="O108" s="603"/>
      <c r="P108" s="603"/>
      <c r="Q108" s="603"/>
      <c r="R108" s="61" t="s">
        <v>175</v>
      </c>
      <c r="S108" s="63">
        <f ca="1">IF(BDI.Opcao&lt;&gt;"Desonerado",0,IF(AND($J97&lt;&gt;$A$145,COUNTA(OFFSET(S100,1,0,6))&gt;0),4.5%,0%))</f>
        <v>0</v>
      </c>
      <c r="U108" s="604" t="s">
        <v>168</v>
      </c>
      <c r="V108" s="604"/>
      <c r="W108" s="604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03" t="s">
        <v>176</v>
      </c>
      <c r="K109" s="603"/>
      <c r="L109" s="603"/>
      <c r="M109" s="603"/>
      <c r="N109" s="603"/>
      <c r="O109" s="603"/>
      <c r="P109" s="603"/>
      <c r="Q109" s="603"/>
      <c r="R109" s="65" t="s">
        <v>152</v>
      </c>
      <c r="S109" s="63">
        <f ca="1">IF($J97=$A$145,0,ROUND((((1+S101+S102+S103)*(1+S104)*(1+S105)/(1-(S106+S107)))-1),4))</f>
        <v>0</v>
      </c>
      <c r="U109" s="597" t="e">
        <f ca="1">IF(OR($J$17=$A$146,$J$17=$A$145,AND(S109&gt;=X109,S109&lt;=Z109)),"OK","FORA DO INTERVALO")</f>
        <v>#N/A</v>
      </c>
      <c r="V109" s="597"/>
      <c r="W109" s="597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08" t="s">
        <v>177</v>
      </c>
      <c r="K110" s="608"/>
      <c r="L110" s="608"/>
      <c r="M110" s="608"/>
      <c r="N110" s="608"/>
      <c r="O110" s="608"/>
      <c r="P110" s="608"/>
      <c r="Q110" s="608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09" t="e">
        <f ca="1">IF(U109&lt;&gt;"ok","Anexo: Relatório Técnico Circunstanciado justificando a adoção do percentual de cada parcela do BDI.","")</f>
        <v>#N/A</v>
      </c>
      <c r="L112" s="609"/>
      <c r="M112" s="609"/>
      <c r="N112" s="609"/>
      <c r="O112" s="609"/>
      <c r="P112" s="609"/>
      <c r="Q112" s="609"/>
      <c r="R112" s="609"/>
      <c r="S112" s="609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10" t="s">
        <v>180</v>
      </c>
      <c r="K114" s="610"/>
      <c r="L114" s="610"/>
      <c r="M114" s="610"/>
      <c r="N114" s="610"/>
      <c r="O114" s="610"/>
      <c r="P114" s="610"/>
      <c r="Q114" s="610"/>
      <c r="R114" s="610"/>
      <c r="S114" s="610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11" t="s">
        <v>181</v>
      </c>
      <c r="N115" s="618" t="str">
        <f>IF($J97=$A$146,"(1+K1+K2)*(1+K3)","(1+AC + S + R + G)*(1 + DF)*(1+L)")</f>
        <v>(1+AC + S + R + G)*(1 + DF)*(1+L)</v>
      </c>
      <c r="O115" s="618"/>
      <c r="P115" s="618"/>
      <c r="Q115" s="619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11"/>
      <c r="N116" s="606" t="s">
        <v>183</v>
      </c>
      <c r="O116" s="606"/>
      <c r="P116" s="606"/>
      <c r="Q116" s="619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60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607"/>
      <c r="L118" s="607"/>
      <c r="M118" s="607"/>
      <c r="N118" s="607"/>
      <c r="O118" s="607"/>
      <c r="P118" s="607"/>
      <c r="Q118" s="607"/>
      <c r="R118" s="607"/>
      <c r="S118" s="607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60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607"/>
      <c r="L120" s="607"/>
      <c r="M120" s="607"/>
      <c r="N120" s="607"/>
      <c r="O120" s="607"/>
      <c r="P120" s="607"/>
      <c r="Q120" s="607"/>
      <c r="R120" s="607"/>
      <c r="S120" s="607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20"/>
      <c r="K123" s="620"/>
      <c r="L123" s="620"/>
      <c r="M123" s="620"/>
      <c r="N123" s="620"/>
      <c r="O123" s="620"/>
      <c r="P123" s="620"/>
      <c r="Q123" s="620"/>
      <c r="R123" s="620"/>
      <c r="S123" s="620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614" t="str">
        <f>Import.Município</f>
        <v>Caçapava do Sul/RS</v>
      </c>
      <c r="K125" s="614"/>
      <c r="L125" s="614"/>
      <c r="M125" s="614"/>
      <c r="P125" s="615">
        <f ca="1">DADOS!$F$25</f>
        <v>45518</v>
      </c>
      <c r="Q125" s="615"/>
      <c r="R125" s="615"/>
      <c r="S125" s="615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616" t="s">
        <v>190</v>
      </c>
      <c r="K126" s="616"/>
      <c r="L126" s="616"/>
      <c r="M126" s="616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617"/>
      <c r="K128" s="617"/>
      <c r="L128" s="617"/>
      <c r="M128" s="617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612" t="s">
        <v>192</v>
      </c>
      <c r="K129" s="612"/>
      <c r="L129" s="612"/>
      <c r="M129" s="612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</mergeCells>
  <phoneticPr fontId="38" type="noConversion"/>
  <conditionalFormatting sqref="J30:S30 J70:S70 J110:S110">
    <cfRule type="expression" dxfId="508" priority="2" stopIfTrue="1">
      <formula>DESONERACAO="não"</formula>
    </cfRule>
  </conditionalFormatting>
  <conditionalFormatting sqref="U29:W29 U69:W69 U109:W109">
    <cfRule type="expression" dxfId="507" priority="3" stopIfTrue="1">
      <formula>AND(U29&lt;&gt;"OK",U29&lt;&gt;"-",U29&lt;&gt;"")</formula>
    </cfRule>
    <cfRule type="cellIs" dxfId="506" priority="4" stopIfTrue="1" operator="equal">
      <formula>"OK"</formula>
    </cfRule>
  </conditionalFormatting>
  <conditionalFormatting sqref="S29 S69 S109">
    <cfRule type="expression" dxfId="505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69"/>
  <sheetViews>
    <sheetView showGridLines="0" tabSelected="1" view="pageBreakPreview" zoomScaleNormal="100" zoomScaleSheetLayoutView="100" workbookViewId="0">
      <pane xSplit="19" ySplit="15" topLeftCell="T40" activePane="bottomRight" state="frozen"/>
      <selection activeCell="L1" sqref="L1"/>
      <selection pane="topRight" activeCell="T1" sqref="T1"/>
      <selection pane="bottomLeft" activeCell="L16" sqref="L16"/>
      <selection pane="bottomRight" activeCell="A48" sqref="A48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595" t="s">
        <v>147</v>
      </c>
      <c r="P4" s="595"/>
      <c r="Q4" s="89" t="s">
        <v>148</v>
      </c>
      <c r="R4" s="89" t="s">
        <v>149</v>
      </c>
      <c r="S4" s="595" t="s">
        <v>204</v>
      </c>
      <c r="T4" s="595"/>
      <c r="U4" s="595"/>
      <c r="V4" s="595"/>
      <c r="W4" s="595"/>
      <c r="X4" s="595"/>
      <c r="Y4" s="78"/>
      <c r="Z4" s="78"/>
      <c r="AA4" s="78"/>
      <c r="AB4" s="78"/>
    </row>
    <row r="5" spans="1:40" ht="12.75" customHeight="1" x14ac:dyDescent="0.2">
      <c r="A5" s="7">
        <f ca="1">MAX($C$15:$C$52)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592">
        <f>Import.CR</f>
        <v>0</v>
      </c>
      <c r="P5" s="592"/>
      <c r="Q5" s="92">
        <f>Import.SICONV</f>
        <v>0</v>
      </c>
      <c r="R5" s="93" t="str">
        <f>Import.Proponente</f>
        <v>Prefeitura Municipal de Caçapava do Sul</v>
      </c>
      <c r="S5" s="592" t="str">
        <f>Import.Apelido</f>
        <v>Calçamento da Rua General Neto</v>
      </c>
      <c r="T5" s="592"/>
      <c r="U5" s="592"/>
      <c r="V5" s="592"/>
      <c r="W5" s="592"/>
      <c r="X5" s="592"/>
      <c r="Y5" s="94"/>
      <c r="Z5" s="94"/>
      <c r="AA5" s="94"/>
      <c r="AB5" s="94"/>
      <c r="AE5" s="631" t="s">
        <v>202</v>
      </c>
      <c r="AF5" s="631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595" t="s">
        <v>206</v>
      </c>
      <c r="P7" s="595"/>
      <c r="Q7" s="89" t="s">
        <v>207</v>
      </c>
      <c r="R7" s="89" t="str">
        <f>IF(TIPOORCAMENTO="Licitado","NOME DA EMPRESA","DESCRIÇÃO DO LOTE")</f>
        <v>DESCRIÇÃO DO LOTE</v>
      </c>
      <c r="S7" s="632" t="str">
        <f>IF(TIPOORCAMENTO="Licitado","REGIME DE EXECUÇÃO","MUNICÍPIO / UF")</f>
        <v>MUNICÍPIO / UF</v>
      </c>
      <c r="T7" s="632"/>
      <c r="U7" s="632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35" t="s">
        <v>209</v>
      </c>
      <c r="AL7" s="633" t="s">
        <v>210</v>
      </c>
    </row>
    <row r="8" spans="1:40" ht="12.75" customHeight="1" x14ac:dyDescent="0.2">
      <c r="A8" s="7"/>
      <c r="B8" s="7"/>
      <c r="C8" s="7"/>
      <c r="F8" s="629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29"/>
      <c r="H8" s="629"/>
      <c r="I8" s="629"/>
      <c r="J8" s="629"/>
      <c r="K8" s="629"/>
      <c r="L8" s="621" t="s">
        <v>211</v>
      </c>
      <c r="O8" s="592" t="str">
        <f ca="1">IF(ISERROR(INDIRECT($F$9)),"(N/D: 'Referência "&amp;Excel_BuiltIn_Database&amp;".xls)",INDIRECT($F$9))</f>
        <v>(N/D: 'Referência 04-2024.xls)</v>
      </c>
      <c r="P8" s="592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30" t="str">
        <f>IF(TIPOORCAMENTO="Licitado",Import.RegimeExecução,Import.Município)</f>
        <v>Caçapava do Sul/RS</v>
      </c>
      <c r="T8" s="630"/>
      <c r="U8" s="630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621" t="s">
        <v>212</v>
      </c>
      <c r="Z8" s="621" t="s">
        <v>213</v>
      </c>
      <c r="AA8" s="104"/>
      <c r="AB8" s="104"/>
      <c r="AE8" s="90" t="s">
        <v>208</v>
      </c>
      <c r="AF8" s="91" t="b">
        <v>1</v>
      </c>
      <c r="AJ8" s="635"/>
      <c r="AL8" s="633"/>
    </row>
    <row r="9" spans="1:40" ht="12.75" customHeight="1" x14ac:dyDescent="0.2">
      <c r="F9" s="629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29"/>
      <c r="H9" s="629"/>
      <c r="I9" s="629"/>
      <c r="J9" s="629"/>
      <c r="K9" s="629"/>
      <c r="L9" s="621"/>
      <c r="Y9" s="621"/>
      <c r="Z9" s="621"/>
      <c r="AE9" s="90" t="s">
        <v>214</v>
      </c>
      <c r="AF9" s="91" t="b">
        <v>1</v>
      </c>
      <c r="AJ9" s="635"/>
      <c r="AL9" s="633"/>
    </row>
    <row r="10" spans="1:40" x14ac:dyDescent="0.2">
      <c r="G10" s="86"/>
      <c r="H10" s="86"/>
      <c r="L10" s="621"/>
      <c r="Y10" s="621"/>
      <c r="Z10" s="621"/>
      <c r="AC10" s="105" t="s">
        <v>216</v>
      </c>
      <c r="AE10" s="90" t="s">
        <v>215</v>
      </c>
      <c r="AF10" s="91" t="b">
        <v>1</v>
      </c>
      <c r="AJ10" s="635"/>
      <c r="AL10" s="633"/>
    </row>
    <row r="11" spans="1:40" x14ac:dyDescent="0.2">
      <c r="G11" s="86"/>
      <c r="H11" s="106"/>
      <c r="L11" s="621"/>
      <c r="Y11" s="621"/>
      <c r="Z11" s="621"/>
      <c r="AC11" s="107" t="str">
        <f ca="1">IF(COUNTIF($AC$15:OFFSET($AC$52,-1,0),"DESCRIÇÃO")+COUNTIF($AC$15:OFFSET($AC$52,-1,0),"UNIDADE")+COUNTIF($AC$15:OFFSET($AC$52,-1,0),"SEM VALOR")&gt;0,"NÃO OK","OK")</f>
        <v>OK</v>
      </c>
      <c r="AE11" s="90" t="s">
        <v>217</v>
      </c>
      <c r="AF11" s="91" t="b">
        <v>1</v>
      </c>
      <c r="AJ11" s="635"/>
      <c r="AL11" s="633"/>
    </row>
    <row r="12" spans="1:40" x14ac:dyDescent="0.2">
      <c r="G12" s="86"/>
      <c r="H12" s="86"/>
      <c r="L12" s="621"/>
      <c r="Y12" s="621"/>
      <c r="Z12" s="621"/>
      <c r="AA12" s="634" t="s">
        <v>218</v>
      </c>
      <c r="AB12" s="634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IF(OR($C14="S",$C14=0),0,MATCH(0,OFFSET($D14,1,$C14,ROW($C$52)-ROW($C14)),0))</f>
        <v>0</v>
      </c>
      <c r="K14">
        <f ca="1">IF(OR($C14="S",$C14=0),0,MATCH(OFFSET($D14,0,$C14)+IF($C14&lt;&gt;1,1,COUNTIF(QCI!$A$13:$A$15,ORÇAMENTO!E14)),OFFSET($D14,1,$C14,ROW($C$52)-ROW($C14)),0))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51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COUNTA(OFFSET(D15,1,0):D$52)</f>
        <v>36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23" t="str">
        <f>Import.DescLote</f>
        <v>Lote Único - Empreitada Preço Global</v>
      </c>
      <c r="P15" s="623"/>
      <c r="Q15" s="623"/>
      <c r="R15" s="623"/>
      <c r="S15" s="133"/>
      <c r="T15" s="134"/>
      <c r="U15" s="134"/>
      <c r="V15" s="135"/>
      <c r="W15" s="134"/>
      <c r="X15" s="136">
        <f ca="1">SUMIF(OFFSET($C15,1,0,ROW(X52)-ROW(X15)-1),"S",OFFSET(X15,1,0,ROW(X52)-ROW(X15)-1))</f>
        <v>0</v>
      </c>
      <c r="Y15" s="7"/>
      <c r="Z15" t="str">
        <f ca="1">IF(AND($C15="S",$X15&gt;0),LEFT($Y15,2),"")</f>
        <v/>
      </c>
      <c r="AA15" s="496">
        <f ca="1">SUMIF(OFFSET($C15,1,0,ROW(AA52)-ROW(AA15)-1),"S",OFFSET(AA15,1,0,ROW(AA52)-ROW(AA15)-1))</f>
        <v>0</v>
      </c>
      <c r="AB15" s="137">
        <f ca="1">SUMIF(OFFSET($C15,1,0,ROW(AB52)-ROW(AB15)-1),"S",OFFSET(AB15,1,0,ROW(AB52)-ROW(AB15)-1))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43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43" ca="1" si="2">IF(OR(C16="s",C16=0),OFFSET(B16,-1,0),C16)</f>
        <v>1</v>
      </c>
      <c r="C16">
        <f t="shared" ref="C16:C43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43" ca="1" si="4">IF(OR(C16="S",C16=0),0,IF(ISERROR(K16),J16,SMALL(J16:K16,1)))</f>
        <v>36</v>
      </c>
      <c r="E16">
        <f ca="1">IF($C16=1,OFFSET(E16,-1,0)+MAX(1,COUNTIF(QCI!$A$13:$A$15,OFFSET(ORÇAMENTO!E16,-1,0))),OFFSET(E16,-1,0))</f>
        <v>1</v>
      </c>
      <c r="F16">
        <f t="shared" ref="F16:F43" ca="1" si="5">IF($C16=1,0,IF($C16=2,OFFSET(F16,-1,0)+1,OFFSET(F16,-1,0)))</f>
        <v>0</v>
      </c>
      <c r="G16">
        <f t="shared" ref="G16:G43" ca="1" si="6">IF(AND($C16&lt;=2,$C16&lt;&gt;0),0,IF($C16=3,OFFSET(G16,-1,0)+1,OFFSET(G16,-1,0)))</f>
        <v>0</v>
      </c>
      <c r="H16">
        <f t="shared" ref="H16:H43" ca="1" si="7">IF(AND($C16&lt;=3,$C16&lt;&gt;0),0,IF($C16=4,OFFSET(H16,-1,0)+1,OFFSET(H16,-1,0)))</f>
        <v>0</v>
      </c>
      <c r="I16">
        <f t="shared" ref="I16:I43" ca="1" si="8">IF(AND($C16&lt;=4,$C16&lt;&gt;0),0,IF(AND($C16="S",$X16&gt;0),OFFSET(I16,-1,0)+1,OFFSET(I16,-1,0)))</f>
        <v>0</v>
      </c>
      <c r="J16">
        <f t="shared" ref="J16:J51" ca="1" si="9">IF(OR($C16="S",$C16=0),0,MATCH(0,OFFSET($D16,1,$C16,ROW($C$52)-ROW($C16)),0))</f>
        <v>36</v>
      </c>
      <c r="K16" t="e">
        <f ca="1">IF(OR($C16="S",$C16=0),0,MATCH(OFFSET($D16,0,$C16)+IF($C16&lt;&gt;1,1,COUNTIF(QCI!$A$13:$A$15,ORÇAMENTO!E16)),OFFSET($D16,1,$C16,ROW($C$52)-ROW($C16)),0))</f>
        <v>#N/A</v>
      </c>
      <c r="L16" s="116" t="str">
        <f t="shared" ref="L16:L43" ca="1" si="10">IF(OR($X16&gt;0,$C16=1,$C16=2,$C16=3,$C16=4),"F","")</f>
        <v>F</v>
      </c>
      <c r="M16" s="117" t="s">
        <v>197</v>
      </c>
      <c r="N16" s="118" t="str">
        <f t="shared" ref="N16:N43" ca="1" si="11">CHOOSE(1+LOG(1+2*(C16=1)+4*(C16=2)+8*(C16=3)+16*(C16=4)+32*(C16="S"),2),"","Meta","Nível 2","Nível 3","Nível 4","Serviço")</f>
        <v>Meta</v>
      </c>
      <c r="O16" s="119" t="str">
        <f t="shared" ref="O16:O43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509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43" ca="1" si="13">IF($C16="S",ROUND(IF(TIPOORCAMENTO="Proposto",ORÇAMENTO.CustoUnitario*(1+$AH16),ORÇAMENTO.PrecoUnitarioLicitado),15-13*$AF$10),0)</f>
        <v>0</v>
      </c>
      <c r="X16" s="127">
        <f t="shared" ref="X16:X43" ca="1" si="14">IF($C16="S",VTOTAL1,IF($C16=0,0,ROUND(SomaAgrup,15-13*$AF$11)))</f>
        <v>0</v>
      </c>
      <c r="Y16" s="128" t="s">
        <v>247</v>
      </c>
      <c r="Z16" t="str">
        <f t="shared" ref="Z16:Z43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43" ca="1" si="16">IF($C16="S",IF($Z16="OU",ROUND($X16,2),0),SomaAgrup)</f>
        <v>0</v>
      </c>
      <c r="AC16" s="131" t="str">
        <f t="shared" ref="AC16:AC43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43" ca="1" si="18">IF(AND($C16="S",ORÇAMENTO.CodBarra&lt;&gt;""),IF(ORÇAMENTO.Fonte="",ORÇAMENTO.CodBarra,CONCATENATE(ORÇAMENTO.Fonte," ",ORÇAMENTO.CodBarra)))</f>
        <v>0</v>
      </c>
      <c r="AF16" s="13" t="str">
        <f t="shared" ref="AF16:AF43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43" ca="1" si="20">ROUND(IF(DESONERACAO="sim",REFERENCIA.Desonerado,REFERENCIA.NaoDesonerado),2)</f>
        <v>0</v>
      </c>
      <c r="AH16" s="499">
        <f t="shared" ref="AH16:AH43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43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35</v>
      </c>
      <c r="K17">
        <f ca="1">IF(OR($C17="S",$C17=0),0,MATCH(OFFSET($D17,0,$C17)+IF($C17&lt;&gt;1,1,COUNTIF(QCI!$A$13:$A$15,ORÇAMENTO!E17)),OFFSET($D17,1,$C17,ROW($C$52)-ROW($C17)),0))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477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IF(OR($C18="S",$C18=0),0,MATCH(OFFSET($D18,0,$C18)+IF($C18&lt;&gt;1,1,COUNTIF(QCI!$A$13:$A$15,ORÇAMENTO!E18)),OFFSET($D18,1,$C18,ROW($C$52)-ROW($C18)),0))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33</v>
      </c>
      <c r="K19">
        <f ca="1">IF(OR($C19="S",$C19=0),0,MATCH(OFFSET($D19,0,$C19)+IF($C19&lt;&gt;1,1,COUNTIF(QCI!$A$13:$A$15,ORÇAMENTO!E19)),OFFSET($D19,1,$C19,ROW($C$52)-ROW($C19)),0))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444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IF(OR($C20="S",$C20=0),0,MATCH(OFFSET($D20,0,$C20)+IF($C20&lt;&gt;1,1,COUNTIF(QCI!$A$13:$A$15,ORÇAMENTO!E20)),OFFSET($D20,1,$C20,ROW($C$52)-ROW($C20)),0))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480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8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IF(OR($C21="S",$C21=0),0,MATCH(OFFSET($D21,0,$C21)+IF($C21&lt;&gt;1,1,COUNTIF(QCI!$A$13:$A$15,ORÇAMENTO!E21)),OFFSET($D21,1,$C21,ROW($C$52)-ROW($C21)),0))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462</v>
      </c>
      <c r="Q21" s="121" t="s">
        <v>489</v>
      </c>
      <c r="R21" s="122" t="str">
        <f ca="1">IF($C21="S",REFERENCIA.Descricao,"(digite a descrição aqui)")</f>
        <v>(abra o arquivo 'Referência 04-2024.xls)</v>
      </c>
      <c r="S21" s="123" t="str">
        <f ca="1">REFERENCIA.Unidade</f>
        <v>-</v>
      </c>
      <c r="T21" s="124">
        <f ca="1">OFFSET(CÁLCULO!H$15,ROW($T21)-ROW(T$15),0)</f>
        <v>470.5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Composição 028</v>
      </c>
      <c r="AF21" s="13" t="str">
        <f t="shared" ca="1" si="19"/>
        <v>(abra o arquivo 'Referência 04-2024.xls)</v>
      </c>
      <c r="AG21" s="498">
        <f t="shared" ca="1" si="20"/>
        <v>0</v>
      </c>
      <c r="AH21" s="499">
        <f t="shared" ca="1" si="21"/>
        <v>0.22869999999999999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30</v>
      </c>
      <c r="K22">
        <f ca="1">IF(OR($C22="S",$C22=0),0,MATCH(OFFSET($D22,0,$C22)+IF($C22&lt;&gt;1,1,COUNTIF(QCI!$A$13:$A$15,ORÇAMENTO!E22)),OFFSET($D22,1,$C22,ROW($C$52)-ROW($C22)),0))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478</v>
      </c>
      <c r="S22" s="123" t="str">
        <f ca="1">REFERENCIA.Unidade</f>
        <v>-</v>
      </c>
      <c r="T22" s="124">
        <f ca="1">OFFSET(CÁLCULO!H$15,ROW($T22)-ROW(T$15),0)</f>
        <v>0</v>
      </c>
      <c r="U22" s="125"/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IF(OR($C23="S",$C23=0),0,MATCH(OFFSET($D23,0,$C23)+IF($C23&lt;&gt;1,1,COUNTIF(QCI!$A$13:$A$15,ORÇAMENTO!E23)),OFFSET($D23,1,$C23,ROW($C$52)-ROW($C23)),0))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04-2024.xls)</v>
      </c>
      <c r="S23" s="123" t="str">
        <f ca="1">REFERENCIA.Unidade</f>
        <v>-</v>
      </c>
      <c r="T23" s="124">
        <f ca="1">OFFSET(CÁLCULO!H$15,ROW($T23)-ROW(T$15),0)</f>
        <v>1595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04-2024.xls)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0.22869999999999999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10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28</v>
      </c>
      <c r="K24">
        <f ca="1">IF(OR($C24="S",$C24=0),0,MATCH(OFFSET($D24,0,$C24)+IF($C24&lt;&gt;1,1,COUNTIF(QCI!$A$13:$A$15,ORÇAMENTO!E24)),OFFSET($D24,1,$C24,ROW($C$52)-ROW($C24)),0))</f>
        <v>10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499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04-2024.xls)</v>
      </c>
      <c r="AG24" s="498">
        <f t="shared" ca="1" si="20"/>
        <v>0</v>
      </c>
      <c r="AH24" s="499">
        <f t="shared" ca="1" si="21"/>
        <v>0.22869999999999999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4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9</v>
      </c>
      <c r="K25">
        <f ca="1">IF(OR($C25="S",$C25=0),0,MATCH(OFFSET($D25,0,$C25)+IF($C25&lt;&gt;1,1,COUNTIF(QCI!$A$13:$A$15,ORÇAMENTO!E25)),OFFSET($D25,1,$C25,ROW($C$52)-ROW($C25)),0))</f>
        <v>4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475</v>
      </c>
      <c r="S25" s="123" t="str">
        <f ca="1">REFERENCIA.Unidade</f>
        <v>-</v>
      </c>
      <c r="T25" s="124">
        <f ca="1">OFFSET(CÁLCULO!H$15,ROW($T25)-ROW(T$15),0)</f>
        <v>0</v>
      </c>
      <c r="U25" s="125">
        <f t="shared" ca="1" si="24"/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51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IF(OR($C26="S",$C26=0),0,MATCH(OFFSET($D26,0,$C26)+IF($C26&lt;&gt;1,1,COUNTIF(QCI!$A$13:$A$15,ORÇAMENTO!E26)),OFFSET($D26,1,$C26,ROW($C$52)-ROW($C26)),0))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441</v>
      </c>
      <c r="R26" s="122" t="str">
        <f t="shared" ref="R26:R42" ca="1" si="36">IF($C26="S",REFERENCIA.Descricao,"(digite a descrição aqui)")</f>
        <v>(abra o arquivo 'Referência 04-2024.xls)</v>
      </c>
      <c r="S26" s="123" t="str">
        <f t="shared" ref="S26:S43" ca="1" si="37">REFERENCIA.Unidade</f>
        <v>-</v>
      </c>
      <c r="T26" s="124">
        <f ca="1">OFFSET(CÁLCULO!H$15,ROW($T26)-ROW(T$15),0)</f>
        <v>238</v>
      </c>
      <c r="U26" s="125">
        <f t="shared" ca="1" si="24"/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94273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687.71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IF(OR($C27="S",$C27=0),0,MATCH(OFFSET($D27,0,$C27)+IF($C27&lt;&gt;1,1,COUNTIF(QCI!$A$13:$A$15,ORÇAMENTO!E27)),OFFSET($D27,1,$C27,ROW($C$52)-ROW($C27)),0))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442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299.88</v>
      </c>
      <c r="U27" s="125">
        <f t="shared" ca="1" si="24"/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866.51459999999997</v>
      </c>
      <c r="AL27" s="527"/>
      <c r="AM27" s="380">
        <f t="shared" ca="1" si="0"/>
        <v>0</v>
      </c>
      <c r="AN27" s="566">
        <f t="shared" ca="1" si="22"/>
        <v>0</v>
      </c>
    </row>
    <row r="28" spans="1:40" ht="38.25" x14ac:dyDescent="0.2">
      <c r="A28" t="str">
        <f t="shared" si="1"/>
        <v>S</v>
      </c>
      <c r="B28">
        <f t="shared" ca="1" si="2"/>
        <v>3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4</v>
      </c>
      <c r="G28">
        <f t="shared" ca="1" si="6"/>
        <v>1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IF(OR($C28="S",$C28=0),0,MATCH(OFFSET($D28,0,$C28)+IF($C28&lt;&gt;1,1,COUNTIF(QCI!$A$13:$A$15,ORÇAMENTO!E28)),OFFSET($D28,1,$C28,ROW($C$52)-ROW($C28)),0))</f>
        <v>0</v>
      </c>
      <c r="L28" s="116" t="str">
        <f t="shared" ca="1" si="10"/>
        <v/>
      </c>
      <c r="M28" s="117" t="s">
        <v>201</v>
      </c>
      <c r="N28" s="118" t="str">
        <f t="shared" ca="1" si="11"/>
        <v>Serviço</v>
      </c>
      <c r="O28" s="119" t="str">
        <f t="shared" ca="1" si="12"/>
        <v>-</v>
      </c>
      <c r="P28" s="120" t="s">
        <v>249</v>
      </c>
      <c r="Q28" s="121" t="s">
        <v>443</v>
      </c>
      <c r="R28" s="122" t="str">
        <f t="shared" ca="1" si="36"/>
        <v>(abra o arquivo 'Referência 04-2024.xls)</v>
      </c>
      <c r="S28" s="123" t="str">
        <f t="shared" ca="1" si="37"/>
        <v>-</v>
      </c>
      <c r="T28" s="124">
        <f ca="1">OFFSET(CÁLCULO!H$15,ROW($T28)-ROW(T$15),0)</f>
        <v>149.94</v>
      </c>
      <c r="U28" s="125">
        <f t="shared" ca="1" si="24"/>
        <v>0</v>
      </c>
      <c r="V28" s="126" t="s">
        <v>158</v>
      </c>
      <c r="W28" s="124">
        <f t="shared" ca="1" si="13"/>
        <v>0</v>
      </c>
      <c r="X28" s="127">
        <f t="shared" ca="1" si="14"/>
        <v>0</v>
      </c>
      <c r="Y28" s="128" t="s">
        <v>247</v>
      </c>
      <c r="Z28" t="str">
        <f t="shared" ca="1" si="15"/>
        <v/>
      </c>
      <c r="AA28" s="129">
        <f ca="1">IF($C28="S",IF($Z28="CP",$X28,IF($Z28="RA",(($X28)*QCI!$AA$3),0)),SomaAgrup)</f>
        <v>0</v>
      </c>
      <c r="AB28" s="130">
        <f t="shared" ca="1" si="16"/>
        <v>0</v>
      </c>
      <c r="AC28" s="131" t="str">
        <f t="shared" ca="1" si="17"/>
        <v/>
      </c>
      <c r="AD28" t="str">
        <f ca="1">IF(C28&lt;=CRONO.NivelExibicao,MAX($AD$15:OFFSET(AD28,-1,0))+IF($C28&lt;&gt;1,1,MAX(1,COUNTIF(QCI!$A$13:$A$15,OFFSET($E28,-1,0)))),"")</f>
        <v/>
      </c>
      <c r="AE28" s="7" t="str">
        <f t="shared" ca="1" si="18"/>
        <v>SINAPI 93590</v>
      </c>
      <c r="AF28" s="13" t="str">
        <f t="shared" ca="1" si="19"/>
        <v>(abra o arquivo 'Referência 04-2024.xls)</v>
      </c>
      <c r="AG28" s="498">
        <f t="shared" ca="1" si="20"/>
        <v>0</v>
      </c>
      <c r="AH28" s="499">
        <f t="shared" ca="1" si="21"/>
        <v>0.22869999999999999</v>
      </c>
      <c r="AJ28" s="501">
        <v>433.25</v>
      </c>
      <c r="AL28" s="527"/>
      <c r="AM28" s="380">
        <f t="shared" ca="1" si="0"/>
        <v>0</v>
      </c>
      <c r="AN28" s="566">
        <f t="shared" ca="1" si="22"/>
        <v>0</v>
      </c>
    </row>
    <row r="29" spans="1:40" x14ac:dyDescent="0.2">
      <c r="A29">
        <f>CHOOSE(1+LOG(1+2*(ORÇAMENTO.Nivel="Meta")+4*(ORÇAMENTO.Nivel="Nível 2")+8*(ORÇAMENTO.Nivel="Nível 3")+16*(ORÇAMENTO.Nivel="Nível 4")+32*(ORÇAMENTO.Nivel="Serviço"),2),0,1,2,3,4,"S")</f>
        <v>4</v>
      </c>
      <c r="B29">
        <f ca="1">IF(OR(C29="s",C29=0),OFFSET(B29,-1,0),C29)</f>
        <v>3</v>
      </c>
      <c r="C29">
        <f ca="1">IF(OFFSET(C29,-1,0)="L",1,IF(OFFSET(C29,-1,0)=1,2,IF(OR(A29="s",A29=0),"S",IF(AND(OFFSET(C29,-1,0)=2,A29=4),3,IF(AND(OR(OFFSET(C29,-1,0)="s",OFFSET(C29,-1,0)=0),A29&lt;&gt;"s",A29&gt;OFFSET(B29,-1,0)),OFFSET(B29,-1,0),A29)))))</f>
        <v>3</v>
      </c>
      <c r="D29">
        <f ca="1">IF(OR(C29="S",C29=0),0,IF(ISERROR(K29),J29,SMALL(J29:K29,1)))</f>
        <v>5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5</v>
      </c>
      <c r="K29" t="e">
        <f ca="1">IF(OR($C29="S",$C29=0),0,MATCH(OFFSET($D29,0,$C29)+IF($C29&lt;&gt;1,1,COUNTIF(QCI!$A$13:$A$15,ORÇAMENTO!E29)),OFFSET($D29,1,$C29,ROW($C$52)-ROW($C29)),0))</f>
        <v>#N/A</v>
      </c>
      <c r="L29" s="116" t="str">
        <f ca="1">IF(OR($X29&gt;0,$C29=1,$C29=2,$C29=3,$C29=4),"F","")</f>
        <v>F</v>
      </c>
      <c r="M29" s="117" t="s">
        <v>200</v>
      </c>
      <c r="N29" s="118" t="str">
        <f ca="1">CHOOSE(1+LOG(1+2*(C29=1)+4*(C29=2)+8*(C29=3)+16*(C29=4)+32*(C29="S"),2),"","Meta","Nível 2","Nível 3","Nível 4","Serviço")</f>
        <v>Nível 3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1.4.2.</v>
      </c>
      <c r="P29" s="120" t="s">
        <v>249</v>
      </c>
      <c r="Q29" s="121"/>
      <c r="R29" s="122" t="s">
        <v>476</v>
      </c>
      <c r="S29" s="123" t="str">
        <f ca="1">REFERENCIA.Unidade</f>
        <v>-</v>
      </c>
      <c r="T29" s="124">
        <f ca="1">OFFSET(CÁLCULO!H$15,ROW($T29)-ROW(T$15),0)</f>
        <v>0</v>
      </c>
      <c r="U29" s="125"/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25.5" x14ac:dyDescent="0.2">
      <c r="A30" t="str">
        <f>CHOOSE(1+LOG(1+2*(ORÇAMENTO.Nivel="Meta")+4*(ORÇAMENTO.Nivel="Nível 2")+8*(ORÇAMENTO.Nivel="Nível 3")+16*(ORÇAMENTO.Nivel="Nível 4")+32*(ORÇAMENTO.Nivel="Serviço"),2),0,1,2,3,4,"S")</f>
        <v>S</v>
      </c>
      <c r="B30">
        <f ca="1">IF(OR(C30="s",C30=0),OFFSET(B30,-1,0),C30)</f>
        <v>3</v>
      </c>
      <c r="C30" t="str">
        <f ca="1">IF(OFFSET(C30,-1,0)="L",1,IF(OFFSET(C30,-1,0)=1,2,IF(OR(A30="s",A30=0),"S",IF(AND(OFFSET(C30,-1,0)=2,A30=4),3,IF(AND(OR(OFFSET(C30,-1,0)="s",OFFSET(C30,-1,0)=0),A30&lt;&gt;"s",A30&gt;OFFSET(B30,-1,0)),OFFSET(B30,-1,0),A30)))))</f>
        <v>S</v>
      </c>
      <c r="D30">
        <f ca="1">IF(OR(C30="S",C30=0),0,IF(ISERROR(K30),J30,SMALL(J30:K30,1)))</f>
        <v>0</v>
      </c>
      <c r="E30">
        <f ca="1">IF($C30=1,OFFSET(E30,-1,0)+MAX(1,COUNTIF(QCI!$A$13:$A$15,OFFSET(ORÇAMENTO!E30,-1,0))),OFFSET(E30,-1,0))</f>
        <v>1</v>
      </c>
      <c r="F30">
        <f ca="1">IF($C30=1,0,IF($C30=2,OFFSET(F30,-1,0)+1,OFFSET(F30,-1,0)))</f>
        <v>4</v>
      </c>
      <c r="G30">
        <f ca="1">IF(AND($C30&lt;=2,$C30&lt;&gt;0),0,IF($C30=3,OFFSET(G30,-1,0)+1,OFFSET(G30,-1,0)))</f>
        <v>2</v>
      </c>
      <c r="H30">
        <f ca="1">IF(AND($C30&lt;=3,$C30&lt;&gt;0),0,IF($C30=4,OFFSET(H30,-1,0)+1,OFFSET(H30,-1,0)))</f>
        <v>0</v>
      </c>
      <c r="I30">
        <f ca="1">IF(AND($C30&lt;=4,$C30&lt;&gt;0),0,IF(AND($C30="S",$X30&gt;0),OFFSET(I30,-1,0)+1,OFFSET(I30,-1,0)))</f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IF(OR($C30="S",$C30=0),0,MATCH(OFFSET($D30,0,$C30)+IF($C30&lt;&gt;1,1,COUNTIF(QCI!$A$13:$A$15,ORÇAMENTO!E30)),OFFSET($D30,1,$C30,ROW($C$52)-ROW($C30)),0))</f>
        <v>0</v>
      </c>
      <c r="L30" s="116" t="str">
        <f ca="1">IF(OR($X30&gt;0,$C30=1,$C30=2,$C30=3,$C30=4),"F","")</f>
        <v/>
      </c>
      <c r="M30" s="117" t="s">
        <v>201</v>
      </c>
      <c r="N30" s="118" t="str">
        <f ca="1">CHOOSE(1+LOG(1+2*(C30=1)+4*(C30=2)+8*(C30=3)+16*(C30=4)+32*(C30="S"),2),"","Meta","Nível 2","Nível 3","Nível 4","Serviço")</f>
        <v>Serviço</v>
      </c>
      <c r="O30" s="119" t="str">
        <f ca="1">IF(OR($C30=0,$L30=""),"-",CONCATENATE(E30&amp;".",IF(AND($A$5&gt;=2,$C30&gt;=2),F30&amp;".",""),IF(AND($A$5&gt;=3,$C30&gt;=3),G30&amp;".",""),IF(AND($A$5&gt;=4,$C30&gt;=4),H30&amp;".",""),IF($C30="S",I30&amp;".","")))</f>
        <v>-</v>
      </c>
      <c r="P30" s="120" t="s">
        <v>249</v>
      </c>
      <c r="Q30" s="121" t="s">
        <v>474</v>
      </c>
      <c r="R30" s="122" t="str">
        <f ca="1">IF($C30="S",REFERENCIA.Descricao,"(digite a descrição aqui)")</f>
        <v>(abra o arquivo 'Referência 04-2024.xls)</v>
      </c>
      <c r="S30" s="123" t="str">
        <f ca="1">REFERENCIA.Unidade</f>
        <v>-</v>
      </c>
      <c r="T30" s="124">
        <f ca="1">OFFSET(CÁLCULO!H$15,ROW($T30)-ROW(T$15),0)</f>
        <v>1595</v>
      </c>
      <c r="U30" s="125">
        <f ca="1">AG30</f>
        <v>0</v>
      </c>
      <c r="V30" s="126" t="s">
        <v>158</v>
      </c>
      <c r="W30" s="124">
        <f ca="1">IF($C30="S",ROUND(IF(TIPOORCAMENTO="Proposto",ORÇAMENTO.CustoUnitario*(1+$AH30),ORÇAMENTO.PrecoUnitarioLicitado),15-13*$AF$10),0)</f>
        <v>0</v>
      </c>
      <c r="X30" s="127">
        <f ca="1">IF($C30="S",VTOTAL1,IF($C30=0,0,ROUND(SomaAgrup,15-13*$AF$11)))</f>
        <v>0</v>
      </c>
      <c r="Y30" s="128" t="s">
        <v>247</v>
      </c>
      <c r="Z30" t="str">
        <f ca="1">IF(AND($C30="S",$X30&gt;0),IF(ISBLANK($Y30),"RA",LEFT($Y30,2)),"")</f>
        <v/>
      </c>
      <c r="AA30" s="129">
        <f ca="1">IF($C30="S",IF($Z30="CP",$X30,IF($Z30="RA",(($X30)*QCI!$AA$3),0)),SomaAgrup)</f>
        <v>0</v>
      </c>
      <c r="AB30" s="130">
        <f ca="1">IF($C30="S",IF($Z30="OU",ROUND($X30,2),0),SomaAgrup)</f>
        <v>0</v>
      </c>
      <c r="AC30" s="131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IF(C30&lt;=CRONO.NivelExibicao,MAX($AD$15:OFFSET(AD30,-1,0))+IF($C30&lt;&gt;1,1,MAX(1,COUNTIF(QCI!$A$13:$A$15,OFFSET($E30,-1,0)))),"")</f>
        <v/>
      </c>
      <c r="AE30" s="7" t="str">
        <f ca="1">IF(AND($C30="S",ORÇAMENTO.CodBarra&lt;&gt;""),IF(ORÇAMENTO.Fonte="",ORÇAMENTO.CodBarra,CONCATENATE(ORÇAMENTO.Fonte," ",ORÇAMENTO.CodBarra)))</f>
        <v>SINAPI 92406</v>
      </c>
      <c r="AF30" s="13" t="str">
        <f ca="1">IF(ISERROR(INDIRECT(ORÇAMENTO.BancoRef)),"(abra o arquivo 'Referência "&amp;Excel_BuiltIn_Database&amp;".xls)",IF(OR($C30&lt;&gt;"S",ORÇAMENTO.CodBarra=""),"(Sem Código)",IF(ISERROR(MATCH($AE30,INDIRECT(ORÇAMENTO.BancoRef),0)),"(Código não identificado nas referências)",MATCH($AE30,INDIRECT(ORÇAMENTO.BancoRef),0))))</f>
        <v>(abra o arquivo 'Referência 04-2024.xls)</v>
      </c>
      <c r="AG30" s="498">
        <f ca="1">ROUND(IF(DESONERACAO="sim",REFERENCIA.Desonerado,REFERENCIA.NaoDesonerado),2)</f>
        <v>0</v>
      </c>
      <c r="AH30" s="499">
        <f ca="1">ROUND(IF(ISNUMBER(ORÇAMENTO.OpcaoBDI),ORÇAMENTO.OpcaoBDI,IF(LEFT(ORÇAMENTO.OpcaoBDI,3)="BDI",HLOOKUP(ORÇAMENTO.OpcaoBDI,$F$4:$H$5,2,FALSE),0)),15-11*$AF$9)</f>
        <v>0.22869999999999999</v>
      </c>
      <c r="AJ30" s="501">
        <v>2679.38</v>
      </c>
      <c r="AL30" s="527"/>
      <c r="AM30" s="380">
        <f t="shared" ca="1" si="0"/>
        <v>0</v>
      </c>
      <c r="AN30" s="566">
        <f ca="1">ROUND(ORÇAMENTO.CustoUnitario*(1+$AH30),2)</f>
        <v>0</v>
      </c>
    </row>
    <row r="31" spans="1:40" ht="38.25" x14ac:dyDescent="0.2">
      <c r="A31" t="str">
        <f>CHOOSE(1+LOG(1+2*(ORÇAMENTO.Nivel="Meta")+4*(ORÇAMENTO.Nivel="Nível 2")+8*(ORÇAMENTO.Nivel="Nível 3")+16*(ORÇAMENTO.Nivel="Nível 4")+32*(ORÇAMENTO.Nivel="Serviço"),2),0,1,2,3,4,"S")</f>
        <v>S</v>
      </c>
      <c r="B31">
        <f ca="1">IF(OR(C31="s",C31=0),OFFSET(B31,-1,0),C31)</f>
        <v>3</v>
      </c>
      <c r="C31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>
        <f ca="1">IF(OR(C31="S",C31=0),0,IF(ISERROR(K31),J31,SMALL(J31:K31,1)))</f>
        <v>0</v>
      </c>
      <c r="E31">
        <f ca="1">IF($C31=1,OFFSET(E31,-1,0)+MAX(1,COUNTIF(QCI!$A$13:$A$15,OFFSET(ORÇAMENTO!E31,-1,0))),OFFSET(E31,-1,0))</f>
        <v>1</v>
      </c>
      <c r="F31">
        <f ca="1">IF($C31=1,0,IF($C31=2,OFFSET(F31,-1,0)+1,OFFSET(F31,-1,0)))</f>
        <v>4</v>
      </c>
      <c r="G31">
        <f ca="1">IF(AND($C31&lt;=2,$C31&lt;&gt;0),0,IF($C31=3,OFFSET(G31,-1,0)+1,OFFSET(G31,-1,0)))</f>
        <v>2</v>
      </c>
      <c r="H31">
        <f ca="1">IF(AND($C31&lt;=3,$C31&lt;&gt;0),0,IF($C31=4,OFFSET(H31,-1,0)+1,OFFSET(H31,-1,0)))</f>
        <v>0</v>
      </c>
      <c r="I31">
        <f ca="1">IF(AND($C31&lt;=4,$C31&lt;&gt;0),0,IF(AND($C31="S",$X31&gt;0),OFFSET(I31,-1,0)+1,OFFSET(I31,-1,0)))</f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IF(OR($C31="S",$C31=0),0,MATCH(OFFSET($D31,0,$C31)+IF($C31&lt;&gt;1,1,COUNTIF(QCI!$A$13:$A$15,ORÇAMENTO!E31)),OFFSET($D31,1,$C31,ROW($C$52)-ROW($C31)),0))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249</v>
      </c>
      <c r="Q31" s="121" t="s">
        <v>442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1079.82</v>
      </c>
      <c r="U31" s="125">
        <f ca="1">AG31</f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SINAPI 95875</v>
      </c>
      <c r="AF31" s="13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>
        <v>1813.9402600000001</v>
      </c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38.25" x14ac:dyDescent="0.2">
      <c r="A32" t="str">
        <f t="shared" si="1"/>
        <v>S</v>
      </c>
      <c r="B32">
        <f t="shared" ca="1" si="2"/>
        <v>3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4</v>
      </c>
      <c r="G32">
        <f t="shared" ca="1" si="6"/>
        <v>2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IF(OR($C32="S",$C32=0),0,MATCH(OFFSET($D32,0,$C32)+IF($C32&lt;&gt;1,1,COUNTIF(QCI!$A$13:$A$15,ORÇAMENTO!E32)),OFFSET($D32,1,$C32,ROW($C$52)-ROW($C32)),0))</f>
        <v>0</v>
      </c>
      <c r="L32" s="116" t="str">
        <f t="shared" ca="1" si="10"/>
        <v/>
      </c>
      <c r="M32" s="117" t="s">
        <v>201</v>
      </c>
      <c r="N32" s="118" t="str">
        <f t="shared" ca="1" si="11"/>
        <v>Serviço</v>
      </c>
      <c r="O32" s="119" t="str">
        <f t="shared" ca="1" si="12"/>
        <v>-</v>
      </c>
      <c r="P32" s="120" t="s">
        <v>249</v>
      </c>
      <c r="Q32" s="121" t="s">
        <v>442</v>
      </c>
      <c r="R32" s="122" t="str">
        <f t="shared" ca="1" si="36"/>
        <v>(abra o arquivo 'Referência 04-2024.xls)</v>
      </c>
      <c r="S32" s="123" t="str">
        <f t="shared" ca="1" si="37"/>
        <v>-</v>
      </c>
      <c r="T32" s="124">
        <f ca="1">OFFSET(CÁLCULO!H$15,ROW($T32)-ROW(T$15),0)</f>
        <v>115.8</v>
      </c>
      <c r="U32" s="125">
        <f ca="1">AG32</f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t="str">
        <f ca="1">IF(C32&lt;=CRONO.NivelExibicao,MAX($AD$15:OFFSET(AD32,-1,0))+IF($C32&lt;&gt;1,1,MAX(1,COUNTIF(QCI!$A$13:$A$15,OFFSET($E32,-1,0)))),"")</f>
        <v/>
      </c>
      <c r="AE32" s="7" t="str">
        <f t="shared" ca="1" si="18"/>
        <v>SINAPI 95875</v>
      </c>
      <c r="AF32" s="13" t="str">
        <f t="shared" ca="1" si="19"/>
        <v>(abra o arquivo 'Referência 04-2024.xls)</v>
      </c>
      <c r="AG32" s="498">
        <f t="shared" ca="1" si="20"/>
        <v>0</v>
      </c>
      <c r="AH32" s="499">
        <f t="shared" ca="1" si="21"/>
        <v>0.22869999999999999</v>
      </c>
      <c r="AJ32" s="501">
        <v>194.522988</v>
      </c>
      <c r="AL32" s="527"/>
      <c r="AM32" s="380">
        <f t="shared" ca="1" si="0"/>
        <v>0</v>
      </c>
      <c r="AN32" s="566">
        <f t="shared" ca="1" si="22"/>
        <v>0</v>
      </c>
    </row>
    <row r="33" spans="1:40" ht="38.25" x14ac:dyDescent="0.2">
      <c r="A33" t="str">
        <f t="shared" si="1"/>
        <v>S</v>
      </c>
      <c r="B33">
        <f t="shared" ca="1" si="2"/>
        <v>3</v>
      </c>
      <c r="C33" t="str">
        <f t="shared" ca="1" si="3"/>
        <v>S</v>
      </c>
      <c r="D33">
        <f t="shared" ca="1" si="4"/>
        <v>0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2</v>
      </c>
      <c r="H33">
        <f t="shared" ca="1" si="7"/>
        <v>0</v>
      </c>
      <c r="I33">
        <f t="shared" ca="1" si="8"/>
        <v>0</v>
      </c>
      <c r="J33">
        <f t="shared" ca="1" si="9"/>
        <v>0</v>
      </c>
      <c r="K33">
        <f ca="1">IF(OR($C33="S",$C33=0),0,MATCH(OFFSET($D33,0,$C33)+IF($C33&lt;&gt;1,1,COUNTIF(QCI!$A$13:$A$15,ORÇAMENTO!E33)),OFFSET($D33,1,$C33,ROW($C$52)-ROW($C33)),0))</f>
        <v>0</v>
      </c>
      <c r="L33" s="116" t="str">
        <f t="shared" ca="1" si="10"/>
        <v/>
      </c>
      <c r="M33" s="117" t="s">
        <v>201</v>
      </c>
      <c r="N33" s="118" t="str">
        <f t="shared" ca="1" si="11"/>
        <v>Serviço</v>
      </c>
      <c r="O33" s="119" t="str">
        <f t="shared" ca="1" si="12"/>
        <v>-</v>
      </c>
      <c r="P33" s="120" t="s">
        <v>249</v>
      </c>
      <c r="Q33" s="121" t="s">
        <v>443</v>
      </c>
      <c r="R33" s="122" t="str">
        <f t="shared" ca="1" si="36"/>
        <v>(abra o arquivo 'Referência 04-2024.xls)</v>
      </c>
      <c r="S33" s="123" t="str">
        <f t="shared" ca="1" si="37"/>
        <v>-</v>
      </c>
      <c r="T33" s="124">
        <f ca="1">OFFSET(CÁLCULO!H$15,ROW($T33)-ROW(T$15),0)</f>
        <v>57.9</v>
      </c>
      <c r="U33" s="125">
        <f ca="1">AG33</f>
        <v>0</v>
      </c>
      <c r="V33" s="126" t="s">
        <v>158</v>
      </c>
      <c r="W33" s="124">
        <f t="shared" ca="1" si="13"/>
        <v>0</v>
      </c>
      <c r="X33" s="127">
        <f t="shared" ca="1" si="14"/>
        <v>0</v>
      </c>
      <c r="Y33" s="128" t="s">
        <v>247</v>
      </c>
      <c r="Z33" t="str">
        <f t="shared" ca="1" si="15"/>
        <v/>
      </c>
      <c r="AA33" s="129">
        <f ca="1">IF($C33="S",IF($Z33="CP",$X33,IF($Z33="RA",(($X33)*QCI!$AA$3),0)),SomaAgrup)</f>
        <v>0</v>
      </c>
      <c r="AB33" s="130">
        <f t="shared" ca="1" si="16"/>
        <v>0</v>
      </c>
      <c r="AC33" s="131" t="str">
        <f t="shared" ca="1" si="17"/>
        <v/>
      </c>
      <c r="AD33" t="str">
        <f ca="1">IF(C33&lt;=CRONO.NivelExibicao,MAX($AD$15:OFFSET(AD33,-1,0))+IF($C33&lt;&gt;1,1,MAX(1,COUNTIF(QCI!$A$13:$A$15,OFFSET($E33,-1,0)))),"")</f>
        <v/>
      </c>
      <c r="AE33" s="7" t="str">
        <f t="shared" ca="1" si="18"/>
        <v>SINAPI 93590</v>
      </c>
      <c r="AF33" s="13" t="str">
        <f t="shared" ca="1" si="19"/>
        <v>(abra o arquivo 'Referência 04-2024.xls)</v>
      </c>
      <c r="AG33" s="498">
        <f t="shared" ca="1" si="20"/>
        <v>0</v>
      </c>
      <c r="AH33" s="499">
        <f t="shared" ca="1" si="21"/>
        <v>0.22869999999999999</v>
      </c>
      <c r="AJ33" s="501">
        <v>97.261493999999999</v>
      </c>
      <c r="AL33" s="527"/>
      <c r="AM33" s="380">
        <f t="shared" ca="1" si="0"/>
        <v>0</v>
      </c>
      <c r="AN33" s="566">
        <f t="shared" ca="1" si="22"/>
        <v>0</v>
      </c>
    </row>
    <row r="34" spans="1:40" s="581" customFormat="1" x14ac:dyDescent="0.2">
      <c r="A34" s="581">
        <f t="shared" si="1"/>
        <v>2</v>
      </c>
      <c r="B34" s="581">
        <f t="shared" ca="1" si="2"/>
        <v>2</v>
      </c>
      <c r="C34" s="581">
        <f t="shared" ca="1" si="3"/>
        <v>2</v>
      </c>
      <c r="D34" s="581">
        <f t="shared" ca="1" si="4"/>
        <v>3</v>
      </c>
      <c r="E34" s="581">
        <f ca="1">IF($C34=1,OFFSET(E34,-1,0)+MAX(1,COUNTIF(QCI!$A$13:$A$15,OFFSET(ORÇAMENTO!E34,-1,0))),OFFSET(E34,-1,0))</f>
        <v>1</v>
      </c>
      <c r="F34" s="581">
        <f t="shared" ca="1" si="5"/>
        <v>5</v>
      </c>
      <c r="G34" s="581">
        <f t="shared" ca="1" si="6"/>
        <v>0</v>
      </c>
      <c r="H34" s="581">
        <f t="shared" ca="1" si="7"/>
        <v>0</v>
      </c>
      <c r="I34" s="581">
        <f t="shared" ca="1" si="8"/>
        <v>0</v>
      </c>
      <c r="J34" s="581">
        <f t="shared" ca="1" si="9"/>
        <v>18</v>
      </c>
      <c r="K34" s="581">
        <f ca="1">IF(OR($C34="S",$C34=0),0,MATCH(OFFSET($D34,0,$C34)+IF($C34&lt;&gt;1,1,COUNTIF(QCI!$A$13:$A$15,ORÇAMENTO!E34)),OFFSET($D34,1,$C34,ROW($C$52)-ROW($C34)),0))</f>
        <v>3</v>
      </c>
      <c r="L34" s="116" t="str">
        <f t="shared" ca="1" si="10"/>
        <v>F</v>
      </c>
      <c r="M34" s="117" t="s">
        <v>198</v>
      </c>
      <c r="N34" s="118" t="str">
        <f t="shared" ca="1" si="11"/>
        <v>Nível 2</v>
      </c>
      <c r="O34" s="119" t="str">
        <f t="shared" ca="1" si="12"/>
        <v>1.5.</v>
      </c>
      <c r="P34" s="120" t="s">
        <v>249</v>
      </c>
      <c r="Q34" s="121"/>
      <c r="R34" s="122" t="s">
        <v>501</v>
      </c>
      <c r="S34" s="123" t="str">
        <f t="shared" ca="1" si="37"/>
        <v>-</v>
      </c>
      <c r="T34" s="124">
        <f ca="1">OFFSET(CÁLCULO!H$15,ROW($T34)-ROW(T$15),0)</f>
        <v>0</v>
      </c>
      <c r="U34" s="125">
        <f t="shared" ref="U34:U42" ca="1" si="38">AG34</f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s="581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 s="581">
        <f ca="1">IF(C34&lt;=CRONO.NivelExibicao,MAX($AD$15:OFFSET(AD34,-1,0))+IF($C34&lt;&gt;1,1,MAX(1,COUNTIF(QCI!$A$13:$A$15,OFFSET($E34,-1,0)))),"")</f>
        <v>6</v>
      </c>
      <c r="AE34" s="7" t="b">
        <f t="shared" ca="1" si="18"/>
        <v>0</v>
      </c>
      <c r="AF34" s="580" t="str">
        <f t="shared" ca="1" si="19"/>
        <v>(abra o arquivo 'Referência 04-2024.xls)</v>
      </c>
      <c r="AG34" s="498">
        <f t="shared" ca="1" si="20"/>
        <v>0</v>
      </c>
      <c r="AH34" s="499">
        <f t="shared" ca="1" si="21"/>
        <v>0.22869999999999999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s="581" customFormat="1" x14ac:dyDescent="0.2">
      <c r="A35" s="581">
        <f t="shared" si="1"/>
        <v>3</v>
      </c>
      <c r="B35" s="581">
        <f t="shared" ca="1" si="2"/>
        <v>3</v>
      </c>
      <c r="C35" s="581">
        <f t="shared" ca="1" si="3"/>
        <v>3</v>
      </c>
      <c r="D35" s="581">
        <f t="shared" ca="1" si="4"/>
        <v>2</v>
      </c>
      <c r="E35" s="581">
        <f ca="1">IF($C35=1,OFFSET(E35,-1,0)+MAX(1,COUNTIF(QCI!$A$13:$A$15,OFFSET(ORÇAMENTO!E35,-1,0))),OFFSET(E35,-1,0))</f>
        <v>1</v>
      </c>
      <c r="F35" s="581">
        <f t="shared" ca="1" si="5"/>
        <v>5</v>
      </c>
      <c r="G35" s="581">
        <f t="shared" ca="1" si="6"/>
        <v>1</v>
      </c>
      <c r="H35" s="581">
        <f t="shared" ca="1" si="7"/>
        <v>0</v>
      </c>
      <c r="I35" s="581">
        <f t="shared" ca="1" si="8"/>
        <v>0</v>
      </c>
      <c r="J35" s="581">
        <f t="shared" ca="1" si="9"/>
        <v>2</v>
      </c>
      <c r="K35" s="581" t="e">
        <f ca="1">IF(OR($C35="S",$C35=0),0,MATCH(OFFSET($D35,0,$C35)+IF($C35&lt;&gt;1,1,COUNTIF(QCI!$A$13:$A$15,ORÇAMENTO!E35)),OFFSET($D35,1,$C35,ROW($C$52)-ROW($C35)),0))</f>
        <v>#N/A</v>
      </c>
      <c r="L35" s="116" t="str">
        <f t="shared" ca="1" si="10"/>
        <v>F</v>
      </c>
      <c r="M35" s="117" t="s">
        <v>199</v>
      </c>
      <c r="N35" s="118" t="str">
        <f t="shared" ca="1" si="11"/>
        <v>Nível 3</v>
      </c>
      <c r="O35" s="119" t="str">
        <f t="shared" ca="1" si="12"/>
        <v>1.5.1.</v>
      </c>
      <c r="P35" s="120" t="s">
        <v>249</v>
      </c>
      <c r="Q35" s="121"/>
      <c r="R35" s="122" t="s">
        <v>503</v>
      </c>
      <c r="S35" s="123" t="str">
        <f t="shared" ca="1" si="37"/>
        <v>-</v>
      </c>
      <c r="T35" s="124">
        <f ca="1">OFFSET(CÁLCULO!H$15,ROW($T35)-ROW(T$15),0)</f>
        <v>0</v>
      </c>
      <c r="U35" s="125">
        <f t="shared" ca="1" si="38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s="581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s="581" t="str">
        <f ca="1">IF(C35&lt;=CRONO.NivelExibicao,MAX($AD$15:OFFSET(AD35,-1,0))+IF($C35&lt;&gt;1,1,MAX(1,COUNTIF(QCI!$A$13:$A$15,OFFSET($E35,-1,0)))),"")</f>
        <v/>
      </c>
      <c r="AE35" s="7" t="b">
        <f t="shared" ca="1" si="18"/>
        <v>0</v>
      </c>
      <c r="AF35" s="580" t="str">
        <f t="shared" ca="1" si="19"/>
        <v>(abra o arquivo 'Referência 04-2024.xls)</v>
      </c>
      <c r="AG35" s="498">
        <f t="shared" ca="1" si="20"/>
        <v>0</v>
      </c>
      <c r="AH35" s="499">
        <f t="shared" ca="1" si="21"/>
        <v>0.22869999999999999</v>
      </c>
      <c r="AJ35" s="501"/>
      <c r="AL35" s="527"/>
      <c r="AM35" s="380">
        <f t="shared" ca="1" si="0"/>
        <v>0</v>
      </c>
      <c r="AN35" s="566">
        <f t="shared" ca="1" si="22"/>
        <v>0</v>
      </c>
    </row>
    <row r="36" spans="1:40" s="581" customFormat="1" ht="38.25" x14ac:dyDescent="0.2">
      <c r="A36" s="581" t="str">
        <f t="shared" si="1"/>
        <v>S</v>
      </c>
      <c r="B36" s="581">
        <f t="shared" ca="1" si="2"/>
        <v>3</v>
      </c>
      <c r="C36" s="581" t="str">
        <f t="shared" ca="1" si="3"/>
        <v>S</v>
      </c>
      <c r="D36" s="581">
        <f t="shared" ca="1" si="4"/>
        <v>0</v>
      </c>
      <c r="E36" s="581">
        <f ca="1">IF($C36=1,OFFSET(E36,-1,0)+MAX(1,COUNTIF(QCI!$A$13:$A$15,OFFSET(ORÇAMENTO!E36,-1,0))),OFFSET(E36,-1,0))</f>
        <v>1</v>
      </c>
      <c r="F36" s="581">
        <f t="shared" ca="1" si="5"/>
        <v>5</v>
      </c>
      <c r="G36" s="581">
        <f t="shared" ca="1" si="6"/>
        <v>1</v>
      </c>
      <c r="H36" s="581">
        <f t="shared" ca="1" si="7"/>
        <v>0</v>
      </c>
      <c r="I36" s="581">
        <f t="shared" ca="1" si="8"/>
        <v>0</v>
      </c>
      <c r="J36" s="581">
        <f t="shared" ca="1" si="9"/>
        <v>0</v>
      </c>
      <c r="K36" s="581">
        <f ca="1">IF(OR($C36="S",$C36=0),0,MATCH(OFFSET($D36,0,$C36)+IF($C36&lt;&gt;1,1,COUNTIF(QCI!$A$13:$A$15,ORÇAMENTO!E36)),OFFSET($D36,1,$C36,ROW($C$52)-ROW($C36)),0))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502</v>
      </c>
      <c r="R36" s="122" t="str">
        <f t="shared" ca="1" si="36"/>
        <v>(abra o arquivo 'Referência 04-2024.xls)</v>
      </c>
      <c r="S36" s="123" t="str">
        <f t="shared" ca="1" si="37"/>
        <v>-</v>
      </c>
      <c r="T36" s="124">
        <f ca="1">OFFSET(CÁLCULO!H$15,ROW($T36)-ROW(T$15),0)</f>
        <v>1</v>
      </c>
      <c r="U36" s="125">
        <f t="shared" ca="1" si="38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s="581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s="581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97951</v>
      </c>
      <c r="AF36" s="580" t="str">
        <f t="shared" ca="1" si="19"/>
        <v>(abra o arquivo 'Referência 04-2024.xls)</v>
      </c>
      <c r="AG36" s="498">
        <f t="shared" ca="1" si="20"/>
        <v>0</v>
      </c>
      <c r="AH36" s="499">
        <f t="shared" ca="1" si="21"/>
        <v>0.22869999999999999</v>
      </c>
      <c r="AJ36" s="501"/>
      <c r="AL36" s="527"/>
      <c r="AM36" s="380">
        <f t="shared" ca="1" si="0"/>
        <v>0</v>
      </c>
      <c r="AN36" s="566">
        <f t="shared" ca="1" si="22"/>
        <v>0</v>
      </c>
    </row>
    <row r="37" spans="1:40" s="585" customFormat="1" ht="25.5" x14ac:dyDescent="0.2">
      <c r="A37" s="585">
        <f t="shared" si="1"/>
        <v>2</v>
      </c>
      <c r="B37" s="585">
        <f t="shared" ca="1" si="2"/>
        <v>2</v>
      </c>
      <c r="C37" s="585">
        <f t="shared" ca="1" si="3"/>
        <v>2</v>
      </c>
      <c r="D37" s="585">
        <f t="shared" ca="1" si="4"/>
        <v>3</v>
      </c>
      <c r="E37" s="585">
        <f ca="1">IF($C37=1,OFFSET(E37,-1,0)+MAX(1,COUNTIF(QCI!$A$13:$A$15,OFFSET(ORÇAMENTO!E37,-1,0))),OFFSET(E37,-1,0))</f>
        <v>1</v>
      </c>
      <c r="F37" s="585">
        <f t="shared" ca="1" si="5"/>
        <v>6</v>
      </c>
      <c r="G37" s="585">
        <f t="shared" ca="1" si="6"/>
        <v>0</v>
      </c>
      <c r="H37" s="585">
        <f t="shared" ca="1" si="7"/>
        <v>0</v>
      </c>
      <c r="I37" s="585">
        <f t="shared" ca="1" si="8"/>
        <v>0</v>
      </c>
      <c r="J37" s="585">
        <f t="shared" ca="1" si="9"/>
        <v>15</v>
      </c>
      <c r="K37" s="585">
        <f ca="1">IF(OR($C37="S",$C37=0),0,MATCH(OFFSET($D37,0,$C37)+IF($C37&lt;&gt;1,1,COUNTIF(QCI!$A$13:$A$15,ORÇAMENTO!E37)),OFFSET($D37,1,$C37,ROW($C$52)-ROW($C37)),0))</f>
        <v>3</v>
      </c>
      <c r="L37" s="116" t="str">
        <f t="shared" ca="1" si="10"/>
        <v>F</v>
      </c>
      <c r="M37" s="117" t="s">
        <v>198</v>
      </c>
      <c r="N37" s="118" t="str">
        <f t="shared" ca="1" si="11"/>
        <v>Nível 2</v>
      </c>
      <c r="O37" s="119" t="str">
        <f t="shared" ca="1" si="12"/>
        <v>1.6.</v>
      </c>
      <c r="P37" s="120" t="s">
        <v>249</v>
      </c>
      <c r="Q37" s="121"/>
      <c r="R37" s="122" t="s">
        <v>512</v>
      </c>
      <c r="S37" s="123" t="str">
        <f t="shared" ca="1" si="37"/>
        <v>-</v>
      </c>
      <c r="T37" s="124">
        <f ca="1">OFFSET(CÁLCULO!H$15,ROW($T37)-ROW(T$15),0)</f>
        <v>0</v>
      </c>
      <c r="U37" s="125">
        <f t="shared" ca="1" si="38"/>
        <v>0</v>
      </c>
      <c r="V37" s="126" t="s">
        <v>158</v>
      </c>
      <c r="W37" s="124">
        <f t="shared" ca="1" si="13"/>
        <v>0</v>
      </c>
      <c r="X37" s="127">
        <f t="shared" ca="1" si="14"/>
        <v>0</v>
      </c>
      <c r="Y37" s="128" t="s">
        <v>247</v>
      </c>
      <c r="Z37" s="585" t="str">
        <f t="shared" ca="1" si="15"/>
        <v/>
      </c>
      <c r="AA37" s="129">
        <f ca="1">IF($C37="S",IF($Z37="CP",$X37,IF($Z37="RA",(($X37)*QCI!$AA$3),0)),SomaAgrup)</f>
        <v>0</v>
      </c>
      <c r="AB37" s="130">
        <f t="shared" ca="1" si="16"/>
        <v>0</v>
      </c>
      <c r="AC37" s="131" t="str">
        <f t="shared" ca="1" si="17"/>
        <v/>
      </c>
      <c r="AD37" s="585">
        <f ca="1">IF(C37&lt;=CRONO.NivelExibicao,MAX($AD$15:OFFSET(AD37,-1,0))+IF($C37&lt;&gt;1,1,MAX(1,COUNTIF(QCI!$A$13:$A$15,OFFSET($E37,-1,0)))),"")</f>
        <v>7</v>
      </c>
      <c r="AE37" s="7" t="b">
        <f t="shared" ca="1" si="18"/>
        <v>0</v>
      </c>
      <c r="AF37" s="584" t="str">
        <f t="shared" ca="1" si="19"/>
        <v>(abra o arquivo 'Referência 04-2024.xls)</v>
      </c>
      <c r="AG37" s="498">
        <f t="shared" ca="1" si="20"/>
        <v>0</v>
      </c>
      <c r="AH37" s="499">
        <f t="shared" ca="1" si="21"/>
        <v>0.22869999999999999</v>
      </c>
      <c r="AJ37" s="501"/>
      <c r="AL37" s="527"/>
      <c r="AM37" s="380">
        <f t="shared" ca="1" si="0"/>
        <v>0</v>
      </c>
      <c r="AN37" s="566">
        <f t="shared" ca="1" si="22"/>
        <v>0</v>
      </c>
    </row>
    <row r="38" spans="1:40" s="585" customFormat="1" ht="25.5" x14ac:dyDescent="0.2">
      <c r="A38" s="585" t="str">
        <f t="shared" si="1"/>
        <v>S</v>
      </c>
      <c r="B38" s="585">
        <f t="shared" ca="1" si="2"/>
        <v>2</v>
      </c>
      <c r="C38" s="585" t="str">
        <f t="shared" ca="1" si="3"/>
        <v>S</v>
      </c>
      <c r="D38" s="585">
        <f t="shared" ca="1" si="4"/>
        <v>0</v>
      </c>
      <c r="E38" s="585">
        <f ca="1">IF($C38=1,OFFSET(E38,-1,0)+MAX(1,COUNTIF(QCI!$A$13:$A$15,OFFSET(ORÇAMENTO!E38,-1,0))),OFFSET(E38,-1,0))</f>
        <v>1</v>
      </c>
      <c r="F38" s="585">
        <f t="shared" ca="1" si="5"/>
        <v>6</v>
      </c>
      <c r="G38" s="585">
        <f t="shared" ca="1" si="6"/>
        <v>0</v>
      </c>
      <c r="H38" s="585">
        <f t="shared" ca="1" si="7"/>
        <v>0</v>
      </c>
      <c r="I38" s="585">
        <f t="shared" ca="1" si="8"/>
        <v>0</v>
      </c>
      <c r="J38" s="585">
        <f t="shared" ca="1" si="9"/>
        <v>0</v>
      </c>
      <c r="K38" s="585">
        <f ca="1">IF(OR($C38="S",$C38=0),0,MATCH(OFFSET($D38,0,$C38)+IF($C38&lt;&gt;1,1,COUNTIF(QCI!$A$13:$A$15,ORÇAMENTO!E38)),OFFSET($D38,1,$C38,ROW($C$52)-ROW($C38)),0))</f>
        <v>0</v>
      </c>
      <c r="L38" s="116" t="str">
        <f t="shared" ca="1" si="10"/>
        <v/>
      </c>
      <c r="M38" s="117" t="s">
        <v>201</v>
      </c>
      <c r="N38" s="118" t="str">
        <f t="shared" ca="1" si="11"/>
        <v>Serviço</v>
      </c>
      <c r="O38" s="119" t="str">
        <f t="shared" ca="1" si="12"/>
        <v>-</v>
      </c>
      <c r="P38" s="120" t="s">
        <v>249</v>
      </c>
      <c r="Q38" s="121" t="s">
        <v>440</v>
      </c>
      <c r="R38" s="122" t="str">
        <f t="shared" ca="1" si="36"/>
        <v>(abra o arquivo 'Referência 04-2024.xls)</v>
      </c>
      <c r="S38" s="123" t="str">
        <f t="shared" ca="1" si="37"/>
        <v>-</v>
      </c>
      <c r="T38" s="124">
        <f ca="1">OFFSET(CÁLCULO!H$15,ROW($T38)-ROW(T$15),0)</f>
        <v>80</v>
      </c>
      <c r="U38" s="125">
        <f t="shared" ca="1" si="38"/>
        <v>0</v>
      </c>
      <c r="V38" s="126" t="s">
        <v>158</v>
      </c>
      <c r="W38" s="124">
        <f t="shared" ca="1" si="13"/>
        <v>0</v>
      </c>
      <c r="X38" s="127">
        <f t="shared" ca="1" si="14"/>
        <v>0</v>
      </c>
      <c r="Y38" s="128" t="s">
        <v>247</v>
      </c>
      <c r="Z38" s="585" t="str">
        <f t="shared" ca="1" si="15"/>
        <v/>
      </c>
      <c r="AA38" s="129">
        <f ca="1">IF($C38="S",IF($Z38="CP",$X38,IF($Z38="RA",(($X38)*QCI!$AA$3),0)),SomaAgrup)</f>
        <v>0</v>
      </c>
      <c r="AB38" s="130">
        <f t="shared" ca="1" si="16"/>
        <v>0</v>
      </c>
      <c r="AC38" s="131" t="str">
        <f t="shared" ca="1" si="17"/>
        <v/>
      </c>
      <c r="AD38" s="585" t="str">
        <f ca="1">IF(C38&lt;=CRONO.NivelExibicao,MAX($AD$15:OFFSET(AD38,-1,0))+IF($C38&lt;&gt;1,1,MAX(1,COUNTIF(QCI!$A$13:$A$15,OFFSET($E38,-1,0)))),"")</f>
        <v/>
      </c>
      <c r="AE38" s="7" t="str">
        <f t="shared" ca="1" si="18"/>
        <v>SINAPI 100576</v>
      </c>
      <c r="AF38" s="584" t="str">
        <f t="shared" ca="1" si="19"/>
        <v>(abra o arquivo 'Referência 04-2024.xls)</v>
      </c>
      <c r="AG38" s="498">
        <f t="shared" ca="1" si="20"/>
        <v>0</v>
      </c>
      <c r="AH38" s="499">
        <f t="shared" ca="1" si="21"/>
        <v>0.22869999999999999</v>
      </c>
      <c r="AJ38" s="501"/>
      <c r="AL38" s="527"/>
      <c r="AM38" s="380">
        <f t="shared" ca="1" si="0"/>
        <v>0</v>
      </c>
      <c r="AN38" s="566">
        <f t="shared" ca="1" si="22"/>
        <v>0</v>
      </c>
    </row>
    <row r="39" spans="1:40" s="585" customFormat="1" ht="51" x14ac:dyDescent="0.2">
      <c r="A39" s="585" t="str">
        <f t="shared" si="1"/>
        <v>S</v>
      </c>
      <c r="B39" s="585">
        <f t="shared" ca="1" si="2"/>
        <v>2</v>
      </c>
      <c r="C39" s="585" t="str">
        <f t="shared" ca="1" si="3"/>
        <v>S</v>
      </c>
      <c r="D39" s="585">
        <f t="shared" ca="1" si="4"/>
        <v>0</v>
      </c>
      <c r="E39" s="585">
        <f ca="1">IF($C39=1,OFFSET(E39,-1,0)+MAX(1,COUNTIF(QCI!$A$13:$A$15,OFFSET(ORÇAMENTO!E39,-1,0))),OFFSET(E39,-1,0))</f>
        <v>1</v>
      </c>
      <c r="F39" s="585">
        <f t="shared" ca="1" si="5"/>
        <v>6</v>
      </c>
      <c r="G39" s="585">
        <f t="shared" ca="1" si="6"/>
        <v>0</v>
      </c>
      <c r="H39" s="585">
        <f t="shared" ca="1" si="7"/>
        <v>0</v>
      </c>
      <c r="I39" s="585">
        <f t="shared" ca="1" si="8"/>
        <v>0</v>
      </c>
      <c r="J39" s="585">
        <f t="shared" ca="1" si="9"/>
        <v>0</v>
      </c>
      <c r="K39" s="585">
        <f ca="1">IF(OR($C39="S",$C39=0),0,MATCH(OFFSET($D39,0,$C39)+IF($C39&lt;&gt;1,1,COUNTIF(QCI!$A$13:$A$15,ORÇAMENTO!E39)),OFFSET($D39,1,$C39,ROW($C$52)-ROW($C39)),0))</f>
        <v>0</v>
      </c>
      <c r="L39" s="116" t="str">
        <f t="shared" ca="1" si="10"/>
        <v/>
      </c>
      <c r="M39" s="117" t="s">
        <v>201</v>
      </c>
      <c r="N39" s="118" t="str">
        <f t="shared" ca="1" si="11"/>
        <v>Serviço</v>
      </c>
      <c r="O39" s="119" t="str">
        <f t="shared" ca="1" si="12"/>
        <v>-</v>
      </c>
      <c r="P39" s="120" t="s">
        <v>249</v>
      </c>
      <c r="Q39" s="121" t="s">
        <v>513</v>
      </c>
      <c r="R39" s="122" t="str">
        <f t="shared" ca="1" si="36"/>
        <v>(abra o arquivo 'Referência 04-2024.xls)</v>
      </c>
      <c r="S39" s="123" t="str">
        <f t="shared" ca="1" si="37"/>
        <v>-</v>
      </c>
      <c r="T39" s="124">
        <f ca="1">OFFSET(CÁLCULO!H$15,ROW($T39)-ROW(T$15),0)</f>
        <v>26.2</v>
      </c>
      <c r="U39" s="125">
        <f t="shared" ca="1" si="38"/>
        <v>0</v>
      </c>
      <c r="V39" s="126" t="s">
        <v>158</v>
      </c>
      <c r="W39" s="124">
        <f t="shared" ca="1" si="13"/>
        <v>0</v>
      </c>
      <c r="X39" s="127">
        <f t="shared" ca="1" si="14"/>
        <v>0</v>
      </c>
      <c r="Y39" s="128" t="s">
        <v>247</v>
      </c>
      <c r="Z39" s="585" t="str">
        <f t="shared" ca="1" si="15"/>
        <v/>
      </c>
      <c r="AA39" s="129">
        <f ca="1">IF($C39="S",IF($Z39="CP",$X39,IF($Z39="RA",(($X39)*QCI!$AA$3),0)),SomaAgrup)</f>
        <v>0</v>
      </c>
      <c r="AB39" s="130">
        <f t="shared" ca="1" si="16"/>
        <v>0</v>
      </c>
      <c r="AC39" s="131" t="str">
        <f t="shared" ca="1" si="17"/>
        <v/>
      </c>
      <c r="AD39" s="585" t="str">
        <f ca="1">IF(C39&lt;=CRONO.NivelExibicao,MAX($AD$15:OFFSET(AD39,-1,0))+IF($C39&lt;&gt;1,1,MAX(1,COUNTIF(QCI!$A$13:$A$15,OFFSET($E39,-1,0)))),"")</f>
        <v/>
      </c>
      <c r="AE39" s="7" t="str">
        <f t="shared" ca="1" si="18"/>
        <v>SINAPI 102509</v>
      </c>
      <c r="AF39" s="584" t="str">
        <f t="shared" ca="1" si="19"/>
        <v>(abra o arquivo 'Referência 04-2024.xls)</v>
      </c>
      <c r="AG39" s="498">
        <f t="shared" ca="1" si="20"/>
        <v>0</v>
      </c>
      <c r="AH39" s="499">
        <f t="shared" ca="1" si="21"/>
        <v>0.22869999999999999</v>
      </c>
      <c r="AJ39" s="501"/>
      <c r="AL39" s="527"/>
      <c r="AM39" s="380">
        <f t="shared" ca="1" si="0"/>
        <v>0</v>
      </c>
      <c r="AN39" s="566">
        <f t="shared" ca="1" si="22"/>
        <v>0</v>
      </c>
    </row>
    <row r="40" spans="1:40" s="585" customFormat="1" x14ac:dyDescent="0.2">
      <c r="A40" s="585">
        <f t="shared" si="1"/>
        <v>3</v>
      </c>
      <c r="B40" s="585">
        <f t="shared" ca="1" si="2"/>
        <v>2</v>
      </c>
      <c r="C40" s="585">
        <f t="shared" ca="1" si="3"/>
        <v>2</v>
      </c>
      <c r="D40" s="585">
        <f t="shared" ca="1" si="4"/>
        <v>3</v>
      </c>
      <c r="E40" s="585">
        <f ca="1">IF($C40=1,OFFSET(E40,-1,0)+MAX(1,COUNTIF(QCI!$A$13:$A$15,OFFSET(ORÇAMENTO!E40,-1,0))),OFFSET(E40,-1,0))</f>
        <v>1</v>
      </c>
      <c r="F40" s="585">
        <f t="shared" ca="1" si="5"/>
        <v>7</v>
      </c>
      <c r="G40" s="585">
        <f t="shared" ca="1" si="6"/>
        <v>0</v>
      </c>
      <c r="H40" s="585">
        <f t="shared" ca="1" si="7"/>
        <v>0</v>
      </c>
      <c r="I40" s="585">
        <f t="shared" ca="1" si="8"/>
        <v>0</v>
      </c>
      <c r="J40" s="585">
        <f t="shared" ca="1" si="9"/>
        <v>12</v>
      </c>
      <c r="K40" s="585">
        <f ca="1">IF(OR($C40="S",$C40=0),0,MATCH(OFFSET($D40,0,$C40)+IF($C40&lt;&gt;1,1,COUNTIF(QCI!$A$13:$A$15,ORÇAMENTO!E40)),OFFSET($D40,1,$C40,ROW($C$52)-ROW($C40)),0))</f>
        <v>3</v>
      </c>
      <c r="L40" s="116" t="str">
        <f t="shared" ca="1" si="10"/>
        <v>F</v>
      </c>
      <c r="M40" s="117" t="s">
        <v>199</v>
      </c>
      <c r="N40" s="118" t="str">
        <f t="shared" ca="1" si="11"/>
        <v>Nível 2</v>
      </c>
      <c r="O40" s="119" t="str">
        <f t="shared" ca="1" si="12"/>
        <v>1.7.</v>
      </c>
      <c r="P40" s="120" t="s">
        <v>249</v>
      </c>
      <c r="Q40" s="121"/>
      <c r="R40" s="122" t="s">
        <v>514</v>
      </c>
      <c r="S40" s="123" t="str">
        <f t="shared" ca="1" si="37"/>
        <v>-</v>
      </c>
      <c r="T40" s="124">
        <f ca="1">OFFSET(CÁLCULO!H$15,ROW($T40)-ROW(T$15),0)</f>
        <v>0</v>
      </c>
      <c r="U40" s="125">
        <f t="shared" ca="1" si="38"/>
        <v>0</v>
      </c>
      <c r="V40" s="126" t="s">
        <v>158</v>
      </c>
      <c r="W40" s="124">
        <f t="shared" ca="1" si="13"/>
        <v>0</v>
      </c>
      <c r="X40" s="127">
        <f t="shared" ca="1" si="14"/>
        <v>0</v>
      </c>
      <c r="Y40" s="128" t="s">
        <v>247</v>
      </c>
      <c r="Z40" s="585" t="str">
        <f t="shared" ca="1" si="15"/>
        <v/>
      </c>
      <c r="AA40" s="129">
        <f ca="1">IF($C40="S",IF($Z40="CP",$X40,IF($Z40="RA",(($X40)*QCI!$AA$3),0)),SomaAgrup)</f>
        <v>0</v>
      </c>
      <c r="AB40" s="130">
        <f t="shared" ca="1" si="16"/>
        <v>0</v>
      </c>
      <c r="AC40" s="131" t="str">
        <f t="shared" ca="1" si="17"/>
        <v/>
      </c>
      <c r="AD40" s="585">
        <f ca="1">IF(C40&lt;=CRONO.NivelExibicao,MAX($AD$15:OFFSET(AD40,-1,0))+IF($C40&lt;&gt;1,1,MAX(1,COUNTIF(QCI!$A$13:$A$15,OFFSET($E40,-1,0)))),"")</f>
        <v>8</v>
      </c>
      <c r="AE40" s="7" t="b">
        <f t="shared" ca="1" si="18"/>
        <v>0</v>
      </c>
      <c r="AF40" s="584" t="str">
        <f t="shared" ca="1" si="19"/>
        <v>(abra o arquivo 'Referência 04-2024.xls)</v>
      </c>
      <c r="AG40" s="498">
        <f t="shared" ca="1" si="20"/>
        <v>0</v>
      </c>
      <c r="AH40" s="499">
        <f t="shared" ca="1" si="21"/>
        <v>0.22869999999999999</v>
      </c>
      <c r="AJ40" s="501"/>
      <c r="AL40" s="527"/>
      <c r="AM40" s="380">
        <f t="shared" ca="1" si="0"/>
        <v>0</v>
      </c>
      <c r="AN40" s="566">
        <f t="shared" ca="1" si="22"/>
        <v>0</v>
      </c>
    </row>
    <row r="41" spans="1:40" s="585" customFormat="1" ht="51" x14ac:dyDescent="0.2">
      <c r="A41" s="585" t="str">
        <f t="shared" si="1"/>
        <v>S</v>
      </c>
      <c r="B41" s="585">
        <f t="shared" ca="1" si="2"/>
        <v>2</v>
      </c>
      <c r="C41" s="585" t="str">
        <f t="shared" ca="1" si="3"/>
        <v>S</v>
      </c>
      <c r="D41" s="585">
        <f t="shared" ca="1" si="4"/>
        <v>0</v>
      </c>
      <c r="E41" s="585">
        <f ca="1">IF($C41=1,OFFSET(E41,-1,0)+MAX(1,COUNTIF(QCI!$A$13:$A$15,OFFSET(ORÇAMENTO!E41,-1,0))),OFFSET(E41,-1,0))</f>
        <v>1</v>
      </c>
      <c r="F41" s="585">
        <f t="shared" ca="1" si="5"/>
        <v>7</v>
      </c>
      <c r="G41" s="585">
        <f t="shared" ca="1" si="6"/>
        <v>0</v>
      </c>
      <c r="H41" s="585">
        <f t="shared" ca="1" si="7"/>
        <v>0</v>
      </c>
      <c r="I41" s="585">
        <f t="shared" ca="1" si="8"/>
        <v>0</v>
      </c>
      <c r="J41" s="585">
        <f t="shared" ca="1" si="9"/>
        <v>0</v>
      </c>
      <c r="K41" s="585">
        <f ca="1">IF(OR($C41="S",$C41=0),0,MATCH(OFFSET($D41,0,$C41)+IF($C41&lt;&gt;1,1,COUNTIF(QCI!$A$13:$A$15,ORÇAMENTO!E41)),OFFSET($D41,1,$C41,ROW($C$52)-ROW($C41)),0))</f>
        <v>0</v>
      </c>
      <c r="L41" s="116" t="str">
        <f t="shared" ca="1" si="10"/>
        <v/>
      </c>
      <c r="M41" s="117" t="s">
        <v>201</v>
      </c>
      <c r="N41" s="118" t="str">
        <f t="shared" ca="1" si="11"/>
        <v>Serviço</v>
      </c>
      <c r="O41" s="119" t="str">
        <f t="shared" ca="1" si="12"/>
        <v>-</v>
      </c>
      <c r="P41" s="120" t="s">
        <v>515</v>
      </c>
      <c r="Q41" s="121" t="s">
        <v>519</v>
      </c>
      <c r="R41" s="122" t="str">
        <f t="shared" ca="1" si="36"/>
        <v>(abra o arquivo 'Referência 04-2024.xls)</v>
      </c>
      <c r="S41" s="123" t="str">
        <f t="shared" ca="1" si="37"/>
        <v>-</v>
      </c>
      <c r="T41" s="124">
        <f ca="1">OFFSET(CÁLCULO!H$15,ROW($T41)-ROW(T$15),0)</f>
        <v>10</v>
      </c>
      <c r="U41" s="125">
        <f t="shared" ca="1" si="38"/>
        <v>0</v>
      </c>
      <c r="V41" s="126" t="s">
        <v>158</v>
      </c>
      <c r="W41" s="124">
        <f t="shared" ca="1" si="13"/>
        <v>0</v>
      </c>
      <c r="X41" s="127">
        <f t="shared" ca="1" si="14"/>
        <v>0</v>
      </c>
      <c r="Y41" s="128" t="s">
        <v>247</v>
      </c>
      <c r="Z41" s="585" t="str">
        <f t="shared" ca="1" si="15"/>
        <v/>
      </c>
      <c r="AA41" s="129">
        <f ca="1">IF($C41="S",IF($Z41="CP",$X41,IF($Z41="RA",(($X41)*QCI!$AA$3),0)),SomaAgrup)</f>
        <v>0</v>
      </c>
      <c r="AB41" s="130">
        <f t="shared" ca="1" si="16"/>
        <v>0</v>
      </c>
      <c r="AC41" s="131" t="str">
        <f t="shared" ca="1" si="17"/>
        <v/>
      </c>
      <c r="AD41" s="585" t="str">
        <f ca="1">IF(C41&lt;=CRONO.NivelExibicao,MAX($AD$15:OFFSET(AD41,-1,0))+IF($C41&lt;&gt;1,1,MAX(1,COUNTIF(QCI!$A$13:$A$15,OFFSET($E41,-1,0)))),"")</f>
        <v/>
      </c>
      <c r="AE41" s="7" t="str">
        <f t="shared" ca="1" si="18"/>
        <v>COMPOSIÇÃO  32</v>
      </c>
      <c r="AF41" s="584" t="str">
        <f t="shared" ca="1" si="19"/>
        <v>(abra o arquivo 'Referência 04-2024.xls)</v>
      </c>
      <c r="AG41" s="498">
        <f t="shared" ca="1" si="20"/>
        <v>0</v>
      </c>
      <c r="AH41" s="499">
        <f t="shared" ca="1" si="21"/>
        <v>0.22869999999999999</v>
      </c>
      <c r="AJ41" s="501"/>
      <c r="AL41" s="527"/>
      <c r="AM41" s="380">
        <f t="shared" ca="1" si="0"/>
        <v>0</v>
      </c>
      <c r="AN41" s="566">
        <f t="shared" ca="1" si="22"/>
        <v>0</v>
      </c>
    </row>
    <row r="42" spans="1:40" s="585" customFormat="1" ht="38.25" x14ac:dyDescent="0.2">
      <c r="A42" s="585" t="str">
        <f t="shared" si="1"/>
        <v>S</v>
      </c>
      <c r="B42" s="585">
        <f t="shared" ca="1" si="2"/>
        <v>2</v>
      </c>
      <c r="C42" s="585" t="str">
        <f t="shared" ca="1" si="3"/>
        <v>S</v>
      </c>
      <c r="D42" s="585">
        <f t="shared" ca="1" si="4"/>
        <v>0</v>
      </c>
      <c r="E42" s="585">
        <f ca="1">IF($C42=1,OFFSET(E42,-1,0)+MAX(1,COUNTIF(QCI!$A$13:$A$15,OFFSET(ORÇAMENTO!E42,-1,0))),OFFSET(E42,-1,0))</f>
        <v>1</v>
      </c>
      <c r="F42" s="585">
        <f t="shared" ca="1" si="5"/>
        <v>7</v>
      </c>
      <c r="G42" s="585">
        <f t="shared" ca="1" si="6"/>
        <v>0</v>
      </c>
      <c r="H42" s="585">
        <f t="shared" ca="1" si="7"/>
        <v>0</v>
      </c>
      <c r="I42" s="585">
        <f t="shared" ca="1" si="8"/>
        <v>0</v>
      </c>
      <c r="J42" s="585">
        <f t="shared" ca="1" si="9"/>
        <v>0</v>
      </c>
      <c r="K42" s="585">
        <f ca="1">IF(OR($C42="S",$C42=0),0,MATCH(OFFSET($D42,0,$C42)+IF($C42&lt;&gt;1,1,COUNTIF(QCI!$A$13:$A$15,ORÇAMENTO!E42)),OFFSET($D42,1,$C42,ROW($C$52)-ROW($C42)),0))</f>
        <v>0</v>
      </c>
      <c r="L42" s="116" t="str">
        <f t="shared" ca="1" si="10"/>
        <v/>
      </c>
      <c r="M42" s="117" t="s">
        <v>201</v>
      </c>
      <c r="N42" s="118" t="str">
        <f t="shared" ca="1" si="11"/>
        <v>Serviço</v>
      </c>
      <c r="O42" s="119" t="str">
        <f t="shared" ca="1" si="12"/>
        <v>-</v>
      </c>
      <c r="P42" s="120" t="s">
        <v>515</v>
      </c>
      <c r="Q42" s="121" t="s">
        <v>516</v>
      </c>
      <c r="R42" s="122" t="str">
        <f t="shared" ca="1" si="36"/>
        <v>(abra o arquivo 'Referência 04-2024.xls)</v>
      </c>
      <c r="S42" s="123" t="str">
        <f t="shared" ca="1" si="37"/>
        <v>-</v>
      </c>
      <c r="T42" s="124">
        <f ca="1">OFFSET(CÁLCULO!H$15,ROW($T42)-ROW(T$15),0)</f>
        <v>2</v>
      </c>
      <c r="U42" s="125">
        <f t="shared" ca="1" si="38"/>
        <v>0</v>
      </c>
      <c r="V42" s="126" t="s">
        <v>158</v>
      </c>
      <c r="W42" s="124">
        <f t="shared" ca="1" si="13"/>
        <v>0</v>
      </c>
      <c r="X42" s="127">
        <f t="shared" ca="1" si="14"/>
        <v>0</v>
      </c>
      <c r="Y42" s="128" t="s">
        <v>247</v>
      </c>
      <c r="Z42" s="585" t="str">
        <f t="shared" ca="1" si="15"/>
        <v/>
      </c>
      <c r="AA42" s="129">
        <f ca="1">IF($C42="S",IF($Z42="CP",$X42,IF($Z42="RA",(($X42)*QCI!$AA$3),0)),SomaAgrup)</f>
        <v>0</v>
      </c>
      <c r="AB42" s="130">
        <f t="shared" ca="1" si="16"/>
        <v>0</v>
      </c>
      <c r="AC42" s="131" t="str">
        <f t="shared" ca="1" si="17"/>
        <v/>
      </c>
      <c r="AD42" s="585" t="str">
        <f ca="1">IF(C42&lt;=CRONO.NivelExibicao,MAX($AD$15:OFFSET(AD42,-1,0))+IF($C42&lt;&gt;1,1,MAX(1,COUNTIF(QCI!$A$13:$A$15,OFFSET($E42,-1,0)))),"")</f>
        <v/>
      </c>
      <c r="AE42" s="7" t="str">
        <f t="shared" ca="1" si="18"/>
        <v>COMPOSIÇÃO  30</v>
      </c>
      <c r="AF42" s="584" t="str">
        <f t="shared" ca="1" si="19"/>
        <v>(abra o arquivo 'Referência 04-2024.xls)</v>
      </c>
      <c r="AG42" s="498">
        <f t="shared" ca="1" si="20"/>
        <v>0</v>
      </c>
      <c r="AH42" s="499">
        <f t="shared" ca="1" si="21"/>
        <v>0.22869999999999999</v>
      </c>
      <c r="AJ42" s="501"/>
      <c r="AL42" s="527"/>
      <c r="AM42" s="380">
        <f t="shared" ca="1" si="0"/>
        <v>0</v>
      </c>
      <c r="AN42" s="566">
        <f t="shared" ca="1" si="22"/>
        <v>0</v>
      </c>
    </row>
    <row r="43" spans="1:40" x14ac:dyDescent="0.2">
      <c r="A43">
        <f t="shared" si="1"/>
        <v>2</v>
      </c>
      <c r="B43">
        <f t="shared" ca="1" si="2"/>
        <v>2</v>
      </c>
      <c r="C43">
        <f t="shared" ca="1" si="3"/>
        <v>2</v>
      </c>
      <c r="D43">
        <f t="shared" ca="1" si="4"/>
        <v>1</v>
      </c>
      <c r="E43">
        <f ca="1">IF($C43=1,OFFSET(E43,-1,0)+MAX(1,COUNTIF(QCI!$A$13:$A$15,OFFSET(ORÇAMENTO!E43,-1,0))),OFFSET(E43,-1,0))</f>
        <v>1</v>
      </c>
      <c r="F43">
        <f t="shared" ca="1" si="5"/>
        <v>8</v>
      </c>
      <c r="G43">
        <f t="shared" ca="1" si="6"/>
        <v>0</v>
      </c>
      <c r="H43">
        <f t="shared" ca="1" si="7"/>
        <v>0</v>
      </c>
      <c r="I43">
        <f t="shared" ca="1" si="8"/>
        <v>0</v>
      </c>
      <c r="J43">
        <f t="shared" ca="1" si="9"/>
        <v>9</v>
      </c>
      <c r="K43">
        <f ca="1">IF(OR($C43="S",$C43=0),0,MATCH(OFFSET($D43,0,$C43)+IF($C43&lt;&gt;1,1,COUNTIF(QCI!$A$13:$A$15,ORÇAMENTO!E43)),OFFSET($D43,1,$C43,ROW($C$52)-ROW($C43)),0))</f>
        <v>1</v>
      </c>
      <c r="L43" s="116" t="str">
        <f t="shared" ca="1" si="10"/>
        <v>F</v>
      </c>
      <c r="M43" s="117" t="s">
        <v>198</v>
      </c>
      <c r="N43" s="118" t="str">
        <f t="shared" ca="1" si="11"/>
        <v>Nível 2</v>
      </c>
      <c r="O43" s="119" t="str">
        <f t="shared" ca="1" si="12"/>
        <v>1.8.</v>
      </c>
      <c r="P43" s="120" t="s">
        <v>249</v>
      </c>
      <c r="Q43" s="121"/>
      <c r="R43" s="122" t="s">
        <v>492</v>
      </c>
      <c r="S43" s="123" t="str">
        <f t="shared" ca="1" si="37"/>
        <v>-</v>
      </c>
      <c r="T43" s="124">
        <f ca="1">OFFSET(CÁLCULO!H$15,ROW($T43)-ROW(T$15),0)</f>
        <v>0</v>
      </c>
      <c r="U43" s="125">
        <f t="shared" ref="U43:U45" ca="1" si="39">AG43</f>
        <v>0</v>
      </c>
      <c r="V43" s="126" t="s">
        <v>158</v>
      </c>
      <c r="W43" s="124">
        <f t="shared" ca="1" si="13"/>
        <v>0</v>
      </c>
      <c r="X43" s="127">
        <f t="shared" ca="1" si="14"/>
        <v>0</v>
      </c>
      <c r="Y43" s="128" t="s">
        <v>247</v>
      </c>
      <c r="Z43" t="str">
        <f t="shared" ca="1" si="15"/>
        <v/>
      </c>
      <c r="AA43" s="129">
        <f ca="1">IF($C43="S",IF($Z43="CP",$X43,IF($Z43="RA",(($X43)*QCI!$AA$3),0)),SomaAgrup)</f>
        <v>0</v>
      </c>
      <c r="AB43" s="130">
        <f t="shared" ca="1" si="16"/>
        <v>0</v>
      </c>
      <c r="AC43" s="131" t="str">
        <f t="shared" ca="1" si="17"/>
        <v/>
      </c>
      <c r="AD43">
        <f ca="1">IF(C43&lt;=CRONO.NivelExibicao,MAX($AD$15:OFFSET(AD43,-1,0))+IF($C43&lt;&gt;1,1,MAX(1,COUNTIF(QCI!$A$13:$A$15,OFFSET($E43,-1,0)))),"")</f>
        <v>9</v>
      </c>
      <c r="AE43" s="7" t="b">
        <f t="shared" ca="1" si="18"/>
        <v>0</v>
      </c>
      <c r="AF43" s="13" t="str">
        <f t="shared" ca="1" si="19"/>
        <v>(abra o arquivo 'Referência 04-2024.xls)</v>
      </c>
      <c r="AG43" s="498">
        <f t="shared" ca="1" si="20"/>
        <v>0</v>
      </c>
      <c r="AH43" s="499">
        <f t="shared" ca="1" si="21"/>
        <v>0.22869999999999999</v>
      </c>
      <c r="AJ43" s="501"/>
      <c r="AL43" s="527"/>
      <c r="AM43" s="380">
        <f t="shared" ca="1" si="0"/>
        <v>0</v>
      </c>
      <c r="AN43" s="566">
        <f t="shared" ca="1" si="22"/>
        <v>0</v>
      </c>
    </row>
    <row r="44" spans="1:40" s="577" customFormat="1" x14ac:dyDescent="0.2">
      <c r="A44" s="577">
        <f t="shared" ref="A44:A47" si="40">CHOOSE(1+LOG(1+2*(ORÇAMENTO.Nivel="Meta")+4*(ORÇAMENTO.Nivel="Nível 2")+8*(ORÇAMENTO.Nivel="Nível 3")+16*(ORÇAMENTO.Nivel="Nível 4")+32*(ORÇAMENTO.Nivel="Serviço"),2),0,1,2,3,4,"S")</f>
        <v>2</v>
      </c>
      <c r="B44" s="577">
        <f ca="1">IF(OR(C44="s",C44=0),OFFSET(B44,-1,0),C44)</f>
        <v>2</v>
      </c>
      <c r="C44" s="577">
        <f ca="1">IF(OFFSET(C44,-1,0)="L",1,IF(OFFSET(C44,-1,0)=1,2,IF(OR(A44="s",A44=0),"S",IF(AND(OFFSET(C44,-1,0)=2,A44=4),3,IF(AND(OR(OFFSET(C44,-1,0)="s",OFFSET(C44,-1,0)=0),A44&lt;&gt;"s",A44&gt;OFFSET(B44,-1,0)),OFFSET(B44,-1,0),A44)))))</f>
        <v>2</v>
      </c>
      <c r="D44" s="577">
        <f ca="1">IF(OR(C44="S",C44=0),0,IF(ISERROR(K44),J44,SMALL(J44:K44,1)))</f>
        <v>2</v>
      </c>
      <c r="E44" s="577">
        <f ca="1">IF($C44=1,OFFSET(E44,-1,0)+MAX(1,COUNTIF(QCI!$A$13:$A$15,OFFSET(ORÇAMENTO!E44,-1,0))),OFFSET(E44,-1,0))</f>
        <v>1</v>
      </c>
      <c r="F44" s="577">
        <f ca="1">IF($C44=1,0,IF($C44=2,OFFSET(F44,-1,0)+1,OFFSET(F44,-1,0)))</f>
        <v>9</v>
      </c>
      <c r="G44" s="577">
        <f ca="1">IF(AND($C44&lt;=2,$C44&lt;&gt;0),0,IF($C44=3,OFFSET(G44,-1,0)+1,OFFSET(G44,-1,0)))</f>
        <v>0</v>
      </c>
      <c r="H44" s="577">
        <f ca="1">IF(AND($C44&lt;=3,$C44&lt;&gt;0),0,IF($C44=4,OFFSET(H44,-1,0)+1,OFFSET(H44,-1,0)))</f>
        <v>0</v>
      </c>
      <c r="I44" s="577">
        <f ca="1">IF(AND($C44&lt;=4,$C44&lt;&gt;0),0,IF(AND($C44="S",$X44&gt;0),OFFSET(I44,-1,0)+1,OFFSET(I44,-1,0)))</f>
        <v>0</v>
      </c>
      <c r="J44" s="577">
        <f t="shared" ca="1" si="9"/>
        <v>8</v>
      </c>
      <c r="K44" s="577">
        <f ca="1">IF(OR($C44="S",$C44=0),0,MATCH(OFFSET($D44,0,$C44)+IF($C44&lt;&gt;1,1,COUNTIF(QCI!$A$13:$A$15,ORÇAMENTO!E44)),OFFSET($D44,1,$C44,ROW($C$52)-ROW($C44)),0))</f>
        <v>2</v>
      </c>
      <c r="L44" s="116" t="str">
        <f ca="1">IF(OR($X44&gt;0,$C44=1,$C44=2,$C44=3,$C44=4),"F","")</f>
        <v>F</v>
      </c>
      <c r="M44" s="117" t="s">
        <v>198</v>
      </c>
      <c r="N44" s="118" t="str">
        <f ca="1">CHOOSE(1+LOG(1+2*(C44=1)+4*(C44=2)+8*(C44=3)+16*(C44=4)+32*(C44="S"),2),"","Meta","Nível 2","Nível 3","Nível 4","Serviço")</f>
        <v>Nível 2</v>
      </c>
      <c r="O44" s="119" t="str">
        <f ca="1">IF(OR($C44=0,$L44=""),"-",CONCATENATE(E44&amp;".",IF(AND($A$5&gt;=2,$C44&gt;=2),F44&amp;".",""),IF(AND($A$5&gt;=3,$C44&gt;=3),G44&amp;".",""),IF(AND($A$5&gt;=4,$C44&gt;=4),H44&amp;".",""),IF($C44="S",I44&amp;".","")))</f>
        <v>1.9.</v>
      </c>
      <c r="P44" s="120" t="s">
        <v>249</v>
      </c>
      <c r="Q44" s="121"/>
      <c r="R44" s="122" t="s">
        <v>495</v>
      </c>
      <c r="S44" s="123" t="str">
        <f ca="1">REFERENCIA.Unidade</f>
        <v>-</v>
      </c>
      <c r="T44" s="124">
        <f ca="1">OFFSET(CÁLCULO!H$15,ROW($T44)-ROW(T$15),0)</f>
        <v>0</v>
      </c>
      <c r="U44" s="125"/>
      <c r="V44" s="126" t="s">
        <v>158</v>
      </c>
      <c r="W44" s="124">
        <f ca="1">IF($C44="S",ROUND(IF(TIPOORCAMENTO="Proposto",ORÇAMENTO.CustoUnitario*(1+$AH44),ORÇAMENTO.PrecoUnitarioLicitado),15-13*$AF$10),0)</f>
        <v>0</v>
      </c>
      <c r="X44" s="127">
        <f t="shared" ref="X44:X47" ca="1" si="41">IF($C44="S",VTOTAL1,IF($C44=0,0,ROUND(SomaAgrup,15-13*$AF$11)))</f>
        <v>0</v>
      </c>
      <c r="Y44" s="128" t="s">
        <v>247</v>
      </c>
      <c r="Z44" s="577" t="str">
        <f ca="1">IF(AND($C44="S",$X44&gt;0),IF(ISBLANK($Y44),"RA",LEFT($Y44,2)),"")</f>
        <v/>
      </c>
      <c r="AA44" s="129">
        <f ca="1">IF($C44="S",IF($Z44="CP",$X44,IF($Z44="RA",(($X44)*QCI!$AA$3),0)),SomaAgrup)</f>
        <v>0</v>
      </c>
      <c r="AB44" s="130">
        <f t="shared" ref="AB44:AB47" ca="1" si="42">IF($C44="S",IF($Z44="OU",ROUND($X44,2),0),SomaAgrup)</f>
        <v>0</v>
      </c>
      <c r="AC44" s="131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577">
        <f ca="1">IF(C44&lt;=CRONO.NivelExibicao,MAX($AD$15:OFFSET(AD44,-1,0))+IF($C44&lt;&gt;1,1,MAX(1,COUNTIF(QCI!$A$13:$A$15,OFFSET($E44,-1,0)))),"")</f>
        <v>10</v>
      </c>
      <c r="AE44" s="7" t="b">
        <f ca="1">IF(AND($C44="S",ORÇAMENTO.CodBarra&lt;&gt;""),IF(ORÇAMENTO.Fonte="",ORÇAMENTO.CodBarra,CONCATENATE(ORÇAMENTO.Fonte," ",ORÇAMENTO.CodBarra)))</f>
        <v>0</v>
      </c>
      <c r="AF44" s="576" t="str">
        <f ca="1">IF(ISERROR(INDIRECT(ORÇAMENTO.BancoRef)),"(abra o arquivo 'Referência "&amp;Excel_BuiltIn_Database&amp;".xls)",IF(OR($C44&lt;&gt;"S",ORÇAMENTO.CodBarra=""),"(Sem Código)",IF(ISERROR(MATCH($AE44,INDIRECT(ORÇAMENTO.BancoRef),0)),"(Código não identificado nas referências)",MATCH($AE44,INDIRECT(ORÇAMENTO.BancoRef),0))))</f>
        <v>(abra o arquivo 'Referência 04-2024.xls)</v>
      </c>
      <c r="AG44" s="498">
        <f ca="1">ROUND(IF(DESONERACAO="sim",REFERENCIA.Desonerado,REFERENCIA.NaoDesonerado),2)</f>
        <v>0</v>
      </c>
      <c r="AH44" s="499">
        <f t="shared" ref="AH44:AH47" ca="1" si="43">ROUND(IF(ISNUMBER(ORÇAMENTO.OpcaoBDI),ORÇAMENTO.OpcaoBDI,IF(LEFT(ORÇAMENTO.OpcaoBDI,3)="BDI",HLOOKUP(ORÇAMENTO.OpcaoBDI,$F$4:$H$5,2,FALSE),0)),15-11*$AF$9)</f>
        <v>0.22869999999999999</v>
      </c>
      <c r="AJ44" s="501"/>
      <c r="AL44" s="527"/>
      <c r="AM44" s="380">
        <f t="shared" ca="1" si="0"/>
        <v>0</v>
      </c>
      <c r="AN44" s="566">
        <f t="shared" ref="AN44:AN47" ca="1" si="44">ROUND(ORÇAMENTO.CustoUnitario*(1+$AH44),2)</f>
        <v>0</v>
      </c>
    </row>
    <row r="45" spans="1:40" s="577" customFormat="1" ht="25.5" x14ac:dyDescent="0.2">
      <c r="A45" s="577" t="str">
        <f t="shared" si="40"/>
        <v>S</v>
      </c>
      <c r="B45" s="577">
        <f ca="1">IF(OR(C45="s",C45=0),OFFSET(B45,-1,0),C45)</f>
        <v>2</v>
      </c>
      <c r="C45" s="577" t="str">
        <f ca="1">IF(OFFSET(C45,-1,0)="L",1,IF(OFFSET(C45,-1,0)=1,2,IF(OR(A45="s",A45=0),"S",IF(AND(OFFSET(C45,-1,0)=2,A45=4),3,IF(AND(OR(OFFSET(C45,-1,0)="s",OFFSET(C45,-1,0)=0),A45&lt;&gt;"s",A45&gt;OFFSET(B45,-1,0)),OFFSET(B45,-1,0),A45)))))</f>
        <v>S</v>
      </c>
      <c r="D45" s="577">
        <f ca="1">IF(OR(C45="S",C45=0),0,IF(ISERROR(K45),J45,SMALL(J45:K45,1)))</f>
        <v>0</v>
      </c>
      <c r="E45" s="577">
        <f ca="1">IF($C45=1,OFFSET(E45,-1,0)+MAX(1,COUNTIF(QCI!$A$13:$A$15,OFFSET(ORÇAMENTO!E45,-1,0))),OFFSET(E45,-1,0))</f>
        <v>1</v>
      </c>
      <c r="F45" s="577">
        <f ca="1">IF($C45=1,0,IF($C45=2,OFFSET(F45,-1,0)+1,OFFSET(F45,-1,0)))</f>
        <v>9</v>
      </c>
      <c r="G45" s="577">
        <f ca="1">IF(AND($C45&lt;=2,$C45&lt;&gt;0),0,IF($C45=3,OFFSET(G45,-1,0)+1,OFFSET(G45,-1,0)))</f>
        <v>0</v>
      </c>
      <c r="H45" s="577">
        <f ca="1">IF(AND($C45&lt;=3,$C45&lt;&gt;0),0,IF($C45=4,OFFSET(H45,-1,0)+1,OFFSET(H45,-1,0)))</f>
        <v>0</v>
      </c>
      <c r="I45" s="577">
        <f ca="1">IF(AND($C45&lt;=4,$C45&lt;&gt;0),0,IF(AND($C45="S",$X45&gt;0),OFFSET(I45,-1,0)+1,OFFSET(I45,-1,0)))</f>
        <v>0</v>
      </c>
      <c r="J45" s="577">
        <f t="shared" ca="1" si="9"/>
        <v>0</v>
      </c>
      <c r="K45" s="577">
        <f ca="1">IF(OR($C45="S",$C45=0),0,MATCH(OFFSET($D45,0,$C45)+IF($C45&lt;&gt;1,1,COUNTIF(QCI!$A$13:$A$15,ORÇAMENTO!E45)),OFFSET($D45,1,$C45,ROW($C$52)-ROW($C45)),0))</f>
        <v>0</v>
      </c>
      <c r="L45" s="116" t="str">
        <f ca="1">IF(OR($X45&gt;0,$C45=1,$C45=2,$C45=3,$C45=4),"F","")</f>
        <v/>
      </c>
      <c r="M45" s="117" t="s">
        <v>201</v>
      </c>
      <c r="N45" s="118" t="str">
        <f ca="1">CHOOSE(1+LOG(1+2*(C45=1)+4*(C45=2)+8*(C45=3)+16*(C45=4)+32*(C45="S"),2),"","Meta","Nível 2","Nível 3","Nível 4","Serviço")</f>
        <v>Serviço</v>
      </c>
      <c r="O45" s="119" t="str">
        <f ca="1">IF(OR($C45=0,$L45=""),"-",CONCATENATE(E45&amp;".",IF(AND($A$5&gt;=2,$C45&gt;=2),F45&amp;".",""),IF(AND($A$5&gt;=3,$C45&gt;=3),G45&amp;".",""),IF(AND($A$5&gt;=4,$C45&gt;=4),H45&amp;".",""),IF($C45="S",I45&amp;".","")))</f>
        <v>-</v>
      </c>
      <c r="P45" s="120" t="s">
        <v>249</v>
      </c>
      <c r="Q45" s="121" t="s">
        <v>440</v>
      </c>
      <c r="R45" s="122" t="str">
        <f ca="1">IF($C45="S",REFERENCIA.Descricao,"(digite a descrição aqui)")</f>
        <v>(abra o arquivo 'Referência 04-2024.xls)</v>
      </c>
      <c r="S45" s="123" t="str">
        <f ca="1">REFERENCIA.Unidade</f>
        <v>-</v>
      </c>
      <c r="T45" s="124">
        <f ca="1">OFFSET(CÁLCULO!H$15,ROW($T45)-ROW(T$15),0)</f>
        <v>39.880000000000003</v>
      </c>
      <c r="U45" s="125">
        <f t="shared" ca="1" si="39"/>
        <v>0</v>
      </c>
      <c r="V45" s="126" t="s">
        <v>158</v>
      </c>
      <c r="W45" s="124">
        <f ca="1">IF($C45="S",ROUND(IF(TIPOORCAMENTO="Proposto",ORÇAMENTO.CustoUnitario*(1+$AH45),ORÇAMENTO.PrecoUnitarioLicitado),15-13*$AF$10),0)</f>
        <v>0</v>
      </c>
      <c r="X45" s="127">
        <f t="shared" ca="1" si="41"/>
        <v>0</v>
      </c>
      <c r="Y45" s="128" t="s">
        <v>247</v>
      </c>
      <c r="Z45" s="577" t="str">
        <f ca="1">IF(AND($C45="S",$X45&gt;0),IF(ISBLANK($Y45),"RA",LEFT($Y45,2)),"")</f>
        <v/>
      </c>
      <c r="AA45" s="129">
        <f ca="1">IF($C45="S",IF($Z45="CP",$X45,IF($Z45="RA",(($X45)*QCI!$AA$3),0)),SomaAgrup)</f>
        <v>0</v>
      </c>
      <c r="AB45" s="130">
        <f t="shared" ca="1" si="42"/>
        <v>0</v>
      </c>
      <c r="AC45" s="131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577" t="str">
        <f ca="1">IF(C45&lt;=CRONO.NivelExibicao,MAX($AD$15:OFFSET(AD45,-1,0))+IF($C45&lt;&gt;1,1,MAX(1,COUNTIF(QCI!$A$13:$A$15,OFFSET($E45,-1,0)))),"")</f>
        <v/>
      </c>
      <c r="AE45" s="7" t="str">
        <f ca="1">IF(AND($C45="S",ORÇAMENTO.CodBarra&lt;&gt;""),IF(ORÇAMENTO.Fonte="",ORÇAMENTO.CodBarra,CONCATENATE(ORÇAMENTO.Fonte," ",ORÇAMENTO.CodBarra)))</f>
        <v>SINAPI 100576</v>
      </c>
      <c r="AF45" s="576" t="str">
        <f ca="1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04-2024.xls)</v>
      </c>
      <c r="AG45" s="498">
        <f ca="1">ROUND(IF(DESONERACAO="sim",REFERENCIA.Desonerado,REFERENCIA.NaoDesonerado),2)</f>
        <v>0</v>
      </c>
      <c r="AH45" s="499">
        <f t="shared" ca="1" si="43"/>
        <v>0.22869999999999999</v>
      </c>
      <c r="AJ45" s="501"/>
      <c r="AL45" s="527"/>
      <c r="AM45" s="380">
        <f t="shared" ca="1" si="0"/>
        <v>0</v>
      </c>
      <c r="AN45" s="566">
        <f t="shared" ca="1" si="44"/>
        <v>0</v>
      </c>
    </row>
    <row r="46" spans="1:40" s="577" customFormat="1" x14ac:dyDescent="0.2">
      <c r="A46" s="577">
        <f t="shared" si="40"/>
        <v>2</v>
      </c>
      <c r="B46" s="577">
        <f t="shared" ref="B46:B47" ca="1" si="45">IF(OR(C46="s",C46=0),OFFSET(B46,-1,0),C46)</f>
        <v>2</v>
      </c>
      <c r="C46" s="577">
        <f t="shared" ref="C46:C47" ca="1" si="46">IF(OFFSET(C46,-1,0)="L",1,IF(OFFSET(C46,-1,0)=1,2,IF(OR(A46="s",A46=0),"S",IF(AND(OFFSET(C46,-1,0)=2,A46=4),3,IF(AND(OR(OFFSET(C46,-1,0)="s",OFFSET(C46,-1,0)=0),A46&lt;&gt;"s",A46&gt;OFFSET(B46,-1,0)),OFFSET(B46,-1,0),A46)))))</f>
        <v>2</v>
      </c>
      <c r="D46" s="577">
        <f t="shared" ref="D46:D47" ca="1" si="47">IF(OR(C46="S",C46=0),0,IF(ISERROR(K46),J46,SMALL(J46:K46,1)))</f>
        <v>2</v>
      </c>
      <c r="E46" s="577">
        <f ca="1">IF($C46=1,OFFSET(E46,-1,0)+MAX(1,COUNTIF(QCI!$A$13:$A$15,OFFSET(ORÇAMENTO!E46,-1,0))),OFFSET(E46,-1,0))</f>
        <v>1</v>
      </c>
      <c r="F46" s="577">
        <f t="shared" ref="F46:F47" ca="1" si="48">IF($C46=1,0,IF($C46=2,OFFSET(F46,-1,0)+1,OFFSET(F46,-1,0)))</f>
        <v>10</v>
      </c>
      <c r="G46" s="577">
        <f t="shared" ref="G46:G47" ca="1" si="49">IF(AND($C46&lt;=2,$C46&lt;&gt;0),0,IF($C46=3,OFFSET(G46,-1,0)+1,OFFSET(G46,-1,0)))</f>
        <v>0</v>
      </c>
      <c r="H46" s="577">
        <f t="shared" ref="H46:H47" ca="1" si="50">IF(AND($C46&lt;=3,$C46&lt;&gt;0),0,IF($C46=4,OFFSET(H46,-1,0)+1,OFFSET(H46,-1,0)))</f>
        <v>0</v>
      </c>
      <c r="I46" s="577">
        <f t="shared" ref="I46:I47" ca="1" si="51">IF(AND($C46&lt;=4,$C46&lt;&gt;0),0,IF(AND($C46="S",$X46&gt;0),OFFSET(I46,-1,0)+1,OFFSET(I46,-1,0)))</f>
        <v>0</v>
      </c>
      <c r="J46" s="577">
        <f t="shared" ca="1" si="9"/>
        <v>6</v>
      </c>
      <c r="K46" s="577">
        <f ca="1">IF(OR($C46="S",$C46=0),0,MATCH(OFFSET($D46,0,$C46)+IF($C46&lt;&gt;1,1,COUNTIF(QCI!$A$13:$A$15,ORÇAMENTO!E46)),OFFSET($D46,1,$C46,ROW($C$52)-ROW($C46)),0))</f>
        <v>2</v>
      </c>
      <c r="L46" s="116" t="str">
        <f t="shared" ref="L46:L47" ca="1" si="52">IF(OR($X46&gt;0,$C46=1,$C46=2,$C46=3,$C46=4),"F","")</f>
        <v>F</v>
      </c>
      <c r="M46" s="117" t="s">
        <v>198</v>
      </c>
      <c r="N46" s="118" t="str">
        <f t="shared" ref="N46:N47" ca="1" si="53">CHOOSE(1+LOG(1+2*(C46=1)+4*(C46=2)+8*(C46=3)+16*(C46=4)+32*(C46="S"),2),"","Meta","Nível 2","Nível 3","Nível 4","Serviço")</f>
        <v>Nível 2</v>
      </c>
      <c r="O46" s="119" t="str">
        <f t="shared" ref="O46:O47" ca="1" si="54">IF(OR($C46=0,$L46=""),"-",CONCATENATE(E46&amp;".",IF(AND($A$5&gt;=2,$C46&gt;=2),F46&amp;".",""),IF(AND($A$5&gt;=3,$C46&gt;=3),G46&amp;".",""),IF(AND($A$5&gt;=4,$C46&gt;=4),H46&amp;".",""),IF($C46="S",I46&amp;".","")))</f>
        <v>1.10.</v>
      </c>
      <c r="P46" s="120" t="s">
        <v>249</v>
      </c>
      <c r="Q46" s="121"/>
      <c r="R46" s="122" t="s">
        <v>496</v>
      </c>
      <c r="S46" s="123" t="str">
        <f ca="1">REFERENCIA.Unidade</f>
        <v>-</v>
      </c>
      <c r="T46" s="124">
        <f ca="1">OFFSET(CÁLCULO!H$15,ROW($T46)-ROW(T$15),0)</f>
        <v>0</v>
      </c>
      <c r="U46" s="125">
        <f t="shared" ref="U46:U48" ca="1" si="55">AG46</f>
        <v>0</v>
      </c>
      <c r="V46" s="126" t="s">
        <v>158</v>
      </c>
      <c r="W46" s="124">
        <f ca="1">IF($C46="S",ROUND(IF(TIPOORCAMENTO="Proposto",ORÇAMENTO.CustoUnitario*(1+$AH46),ORÇAMENTO.PrecoUnitarioLicitado),15-13*$AF$10),0)</f>
        <v>0</v>
      </c>
      <c r="X46" s="127">
        <f t="shared" ca="1" si="41"/>
        <v>0</v>
      </c>
      <c r="Y46" s="128" t="s">
        <v>247</v>
      </c>
      <c r="Z46" s="577" t="str">
        <f t="shared" ref="Z46:Z47" ca="1" si="56">IF(AND($C46="S",$X46&gt;0),IF(ISBLANK($Y46),"RA",LEFT($Y46,2)),"")</f>
        <v/>
      </c>
      <c r="AA46" s="129">
        <f ca="1">IF($C46="S",IF($Z46="CP",$X46,IF($Z46="RA",(($X46)*QCI!$AA$3),0)),SomaAgrup)</f>
        <v>0</v>
      </c>
      <c r="AB46" s="130">
        <f t="shared" ca="1" si="42"/>
        <v>0</v>
      </c>
      <c r="AC46" s="131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577">
        <f ca="1">IF(C46&lt;=CRONO.NivelExibicao,MAX($AD$15:OFFSET(AD46,-1,0))+IF($C46&lt;&gt;1,1,MAX(1,COUNTIF(QCI!$A$13:$A$15,OFFSET($E46,-1,0)))),"")</f>
        <v>11</v>
      </c>
      <c r="AE46" s="7" t="b">
        <f ca="1">IF(AND($C46="S",ORÇAMENTO.CodBarra&lt;&gt;""),IF(ORÇAMENTO.Fonte="",ORÇAMENTO.CodBarra,CONCATENATE(ORÇAMENTO.Fonte," ",ORÇAMENTO.CodBarra)))</f>
        <v>0</v>
      </c>
      <c r="AF46" s="576" t="str">
        <f ca="1">IF(ISERROR(INDIRECT(ORÇAMENTO.BancoRef)),"(abra o arquivo 'Referência "&amp;Excel_BuiltIn_Database&amp;".xls)",IF(OR($C46&lt;&gt;"S",ORÇAMENTO.CodBarra=""),"(Sem Código)",IF(ISERROR(MATCH($AE46,INDIRECT(ORÇAMENTO.BancoRef),0)),"(Código não identificado nas referências)",MATCH($AE46,INDIRECT(ORÇAMENTO.BancoRef),0))))</f>
        <v>(abra o arquivo 'Referência 04-2024.xls)</v>
      </c>
      <c r="AG46" s="498">
        <f ca="1">ROUND(IF(DESONERACAO="sim",REFERENCIA.Desonerado,REFERENCIA.NaoDesonerado),2)</f>
        <v>0</v>
      </c>
      <c r="AH46" s="499">
        <f t="shared" ca="1" si="43"/>
        <v>0.22869999999999999</v>
      </c>
      <c r="AJ46" s="501"/>
      <c r="AL46" s="527"/>
      <c r="AM46" s="380">
        <f t="shared" ca="1" si="0"/>
        <v>0</v>
      </c>
      <c r="AN46" s="566">
        <f t="shared" ca="1" si="44"/>
        <v>0</v>
      </c>
    </row>
    <row r="47" spans="1:40" s="577" customFormat="1" ht="25.5" x14ac:dyDescent="0.2">
      <c r="A47" s="577" t="str">
        <f t="shared" si="40"/>
        <v>S</v>
      </c>
      <c r="B47" s="577">
        <f t="shared" ca="1" si="45"/>
        <v>2</v>
      </c>
      <c r="C47" s="577" t="str">
        <f t="shared" ca="1" si="46"/>
        <v>S</v>
      </c>
      <c r="D47" s="577">
        <f t="shared" ca="1" si="47"/>
        <v>0</v>
      </c>
      <c r="E47" s="577">
        <f ca="1">IF($C47=1,OFFSET(E47,-1,0)+MAX(1,COUNTIF(QCI!$A$13:$A$15,OFFSET(ORÇAMENTO!E47,-1,0))),OFFSET(E47,-1,0))</f>
        <v>1</v>
      </c>
      <c r="F47" s="577">
        <f t="shared" ca="1" si="48"/>
        <v>10</v>
      </c>
      <c r="G47" s="577">
        <f t="shared" ca="1" si="49"/>
        <v>0</v>
      </c>
      <c r="H47" s="577">
        <f t="shared" ca="1" si="50"/>
        <v>0</v>
      </c>
      <c r="I47" s="577">
        <f t="shared" ca="1" si="51"/>
        <v>0</v>
      </c>
      <c r="J47" s="577">
        <f t="shared" ca="1" si="9"/>
        <v>0</v>
      </c>
      <c r="K47" s="577">
        <f ca="1">IF(OR($C47="S",$C47=0),0,MATCH(OFFSET($D47,0,$C47)+IF($C47&lt;&gt;1,1,COUNTIF(QCI!$A$13:$A$15,ORÇAMENTO!E47)),OFFSET($D47,1,$C47,ROW($C$52)-ROW($C47)),0))</f>
        <v>0</v>
      </c>
      <c r="L47" s="116" t="str">
        <f t="shared" ca="1" si="52"/>
        <v/>
      </c>
      <c r="M47" s="117" t="s">
        <v>201</v>
      </c>
      <c r="N47" s="118" t="str">
        <f t="shared" ca="1" si="53"/>
        <v>Serviço</v>
      </c>
      <c r="O47" s="119" t="str">
        <f t="shared" ca="1" si="54"/>
        <v>-</v>
      </c>
      <c r="P47" s="120" t="s">
        <v>249</v>
      </c>
      <c r="Q47" s="121" t="s">
        <v>440</v>
      </c>
      <c r="R47" s="122" t="str">
        <f ca="1">IF($C47="S",REFERENCIA.Descricao,"(digite a descrição aqui)")</f>
        <v>(abra o arquivo 'Referência 04-2024.xls)</v>
      </c>
      <c r="S47" s="123" t="str">
        <f ca="1">REFERENCIA.Unidade</f>
        <v>-</v>
      </c>
      <c r="T47" s="124">
        <f ca="1">OFFSET(CÁLCULO!H$15,ROW($T47)-ROW(T$15),0)</f>
        <v>79.760000000000005</v>
      </c>
      <c r="U47" s="125">
        <f t="shared" ca="1" si="55"/>
        <v>0</v>
      </c>
      <c r="V47" s="126" t="s">
        <v>158</v>
      </c>
      <c r="W47" s="124">
        <f ca="1">IF($C47="S",ROUND(IF(TIPOORCAMENTO="Proposto",ORÇAMENTO.CustoUnitario*(1+$AH47),ORÇAMENTO.PrecoUnitarioLicitado),15-13*$AF$10),0)</f>
        <v>0</v>
      </c>
      <c r="X47" s="127">
        <f t="shared" ca="1" si="41"/>
        <v>0</v>
      </c>
      <c r="Y47" s="128" t="s">
        <v>247</v>
      </c>
      <c r="Z47" s="577" t="str">
        <f t="shared" ca="1" si="56"/>
        <v/>
      </c>
      <c r="AA47" s="129">
        <f ca="1">IF($C47="S",IF($Z47="CP",$X47,IF($Z47="RA",(($X47)*QCI!$AA$3),0)),SomaAgrup)</f>
        <v>0</v>
      </c>
      <c r="AB47" s="130">
        <f t="shared" ca="1" si="42"/>
        <v>0</v>
      </c>
      <c r="AC47" s="131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577" t="str">
        <f ca="1">IF(C47&lt;=CRONO.NivelExibicao,MAX($AD$15:OFFSET(AD47,-1,0))+IF($C47&lt;&gt;1,1,MAX(1,COUNTIF(QCI!$A$13:$A$15,OFFSET($E47,-1,0)))),"")</f>
        <v/>
      </c>
      <c r="AE47" s="7" t="str">
        <f ca="1">IF(AND($C47="S",ORÇAMENTO.CodBarra&lt;&gt;""),IF(ORÇAMENTO.Fonte="",ORÇAMENTO.CodBarra,CONCATENATE(ORÇAMENTO.Fonte," ",ORÇAMENTO.CodBarra)))</f>
        <v>SINAPI 100576</v>
      </c>
      <c r="AF47" s="576" t="str">
        <f ca="1">IF(ISERROR(INDIRECT(ORÇAMENTO.BancoRef)),"(abra o arquivo 'Referência "&amp;Excel_BuiltIn_Database&amp;".xls)",IF(OR($C47&lt;&gt;"S",ORÇAMENTO.CodBarra=""),"(Sem Código)",IF(ISERROR(MATCH($AE47,INDIRECT(ORÇAMENTO.BancoRef),0)),"(Código não identificado nas referências)",MATCH($AE47,INDIRECT(ORÇAMENTO.BancoRef),0))))</f>
        <v>(abra o arquivo 'Referência 04-2024.xls)</v>
      </c>
      <c r="AG47" s="498">
        <f ca="1">ROUND(IF(DESONERACAO="sim",REFERENCIA.Desonerado,REFERENCIA.NaoDesonerado),2)</f>
        <v>0</v>
      </c>
      <c r="AH47" s="499">
        <f t="shared" ca="1" si="43"/>
        <v>0.22869999999999999</v>
      </c>
      <c r="AJ47" s="501"/>
      <c r="AL47" s="527"/>
      <c r="AM47" s="380">
        <f t="shared" ca="1" si="0"/>
        <v>0</v>
      </c>
      <c r="AN47" s="566">
        <f t="shared" ca="1" si="44"/>
        <v>0</v>
      </c>
    </row>
    <row r="48" spans="1:40" x14ac:dyDescent="0.2">
      <c r="A48">
        <f t="shared" ref="A48:A51" si="57">CHOOSE(1+LOG(1+2*(ORÇAMENTO.Nivel="Meta")+4*(ORÇAMENTO.Nivel="Nível 2")+8*(ORÇAMENTO.Nivel="Nível 3")+16*(ORÇAMENTO.Nivel="Nível 4")+32*(ORÇAMENTO.Nivel="Serviço"),2),0,1,2,3,4,"S")</f>
        <v>2</v>
      </c>
      <c r="B48">
        <f t="shared" ref="B48:B51" ca="1" si="58">IF(OR(C48="s",C48=0),OFFSET(B48,-1,0),C48)</f>
        <v>2</v>
      </c>
      <c r="C48">
        <f t="shared" ref="C48:C51" ca="1" si="59">IF(OFFSET(C48,-1,0)="L",1,IF(OFFSET(C48,-1,0)=1,2,IF(OR(A48="s",A48=0),"S",IF(AND(OFFSET(C48,-1,0)=2,A48=4),3,IF(AND(OR(OFFSET(C48,-1,0)="s",OFFSET(C48,-1,0)=0),A48&lt;&gt;"s",A48&gt;OFFSET(B48,-1,0)),OFFSET(B48,-1,0),A48)))))</f>
        <v>2</v>
      </c>
      <c r="D48">
        <f t="shared" ref="D48:D51" ca="1" si="60">IF(OR(C48="S",C48=0),0,IF(ISERROR(K48),J48,SMALL(J48:K48,1)))</f>
        <v>4</v>
      </c>
      <c r="E48">
        <f ca="1">IF($C48=1,OFFSET(E48,-1,0)+MAX(1,COUNTIF(QCI!$A$13:$A$15,OFFSET(ORÇAMENTO!E48,-1,0))),OFFSET(E48,-1,0))</f>
        <v>1</v>
      </c>
      <c r="F48">
        <f t="shared" ref="F48:F51" ca="1" si="61">IF($C48=1,0,IF($C48=2,OFFSET(F48,-1,0)+1,OFFSET(F48,-1,0)))</f>
        <v>11</v>
      </c>
      <c r="G48">
        <f t="shared" ref="G48:G51" ca="1" si="62">IF(AND($C48&lt;=2,$C48&lt;&gt;0),0,IF($C48=3,OFFSET(G48,-1,0)+1,OFFSET(G48,-1,0)))</f>
        <v>0</v>
      </c>
      <c r="H48">
        <f t="shared" ref="H48:H51" ca="1" si="63">IF(AND($C48&lt;=3,$C48&lt;&gt;0),0,IF($C48=4,OFFSET(H48,-1,0)+1,OFFSET(H48,-1,0)))</f>
        <v>0</v>
      </c>
      <c r="I48">
        <f t="shared" ref="I48:I51" ca="1" si="64">IF(AND($C48&lt;=4,$C48&lt;&gt;0),0,IF(AND($C48="S",$X48&gt;0),OFFSET(I48,-1,0)+1,OFFSET(I48,-1,0)))</f>
        <v>0</v>
      </c>
      <c r="J48">
        <f t="shared" ca="1" si="9"/>
        <v>4</v>
      </c>
      <c r="K48" t="e">
        <f ca="1">IF(OR($C48="S",$C48=0),0,MATCH(OFFSET($D48,0,$C48)+IF($C48&lt;&gt;1,1,COUNTIF(QCI!$A$13:$A$15,ORÇAMENTO!E48)),OFFSET($D48,1,$C48,ROW($C$52)-ROW($C48)),0))</f>
        <v>#N/A</v>
      </c>
      <c r="L48" s="116" t="str">
        <f t="shared" ref="L48:L51" ca="1" si="65">IF(OR($X48&gt;0,$C48=1,$C48=2,$C48=3,$C48=4),"F","")</f>
        <v>F</v>
      </c>
      <c r="M48" s="117" t="s">
        <v>198</v>
      </c>
      <c r="N48" s="118" t="str">
        <f t="shared" ref="N48:N51" ca="1" si="66">CHOOSE(1+LOG(1+2*(C48=1)+4*(C48=2)+8*(C48=3)+16*(C48=4)+32*(C48="S"),2),"","Meta","Nível 2","Nível 3","Nível 4","Serviço")</f>
        <v>Nível 2</v>
      </c>
      <c r="O48" s="119" t="str">
        <f t="shared" ref="O48:O51" ca="1" si="67">IF(OR($C48=0,$L48=""),"-",CONCATENATE(E48&amp;".",IF(AND($A$5&gt;=2,$C48&gt;=2),F48&amp;".",""),IF(AND($A$5&gt;=3,$C48&gt;=3),G48&amp;".",""),IF(AND($A$5&gt;=4,$C48&gt;=4),H48&amp;".",""),IF($C48="S",I48&amp;".","")))</f>
        <v>1.11.</v>
      </c>
      <c r="P48" s="120" t="s">
        <v>249</v>
      </c>
      <c r="Q48" s="121"/>
      <c r="R48" s="122" t="s">
        <v>459</v>
      </c>
      <c r="S48" s="123" t="str">
        <f t="shared" ref="S48:S51" ca="1" si="68">REFERENCIA.Unidade</f>
        <v>-</v>
      </c>
      <c r="T48" s="124">
        <f ca="1">OFFSET(CÁLCULO!H$15,ROW($T48)-ROW(T$15),0)</f>
        <v>0</v>
      </c>
      <c r="U48" s="125">
        <f t="shared" ca="1" si="55"/>
        <v>0</v>
      </c>
      <c r="V48" s="126" t="s">
        <v>158</v>
      </c>
      <c r="W48" s="124">
        <f t="shared" ref="W48:W51" ca="1" si="69">IF($C48="S",ROUND(IF(TIPOORCAMENTO="Proposto",ORÇAMENTO.CustoUnitario*(1+$AH48),ORÇAMENTO.PrecoUnitarioLicitado),15-13*$AF$10),0)</f>
        <v>0</v>
      </c>
      <c r="X48" s="127">
        <f t="shared" ref="X48:X51" ca="1" si="70">IF($C48="S",VTOTAL1,IF($C48=0,0,ROUND(SomaAgrup,15-13*$AF$11)))</f>
        <v>0</v>
      </c>
      <c r="Y48" s="128" t="s">
        <v>247</v>
      </c>
      <c r="Z48" t="str">
        <f t="shared" ref="Z48:Z51" ca="1" si="71">IF(AND($C48="S",$X48&gt;0),IF(ISBLANK($Y48),"RA",LEFT($Y48,2)),"")</f>
        <v/>
      </c>
      <c r="AA48" s="129">
        <f ca="1">IF($C48="S",IF($Z48="CP",$X48,IF($Z48="RA",(($X48)*QCI!$AA$3),0)),SomaAgrup)</f>
        <v>0</v>
      </c>
      <c r="AB48" s="130">
        <f t="shared" ref="AB48:AB51" ca="1" si="72">IF($C48="S",IF($Z48="OU",ROUND($X48,2),0),SomaAgrup)</f>
        <v>0</v>
      </c>
      <c r="AC48" s="131" t="str">
        <f t="shared" ref="AC48:AC51" ca="1" si="73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>
        <f ca="1">IF(C48&lt;=CRONO.NivelExibicao,MAX($AD$15:OFFSET(AD48,-1,0))+IF($C48&lt;&gt;1,1,MAX(1,COUNTIF(QCI!$A$13:$A$15,OFFSET($E48,-1,0)))),"")</f>
        <v>12</v>
      </c>
      <c r="AE48" s="7" t="b">
        <f t="shared" ref="AE48:AE51" ca="1" si="74">IF(AND($C48="S",ORÇAMENTO.CodBarra&lt;&gt;""),IF(ORÇAMENTO.Fonte="",ORÇAMENTO.CodBarra,CONCATENATE(ORÇAMENTO.Fonte," ",ORÇAMENTO.CodBarra)))</f>
        <v>0</v>
      </c>
      <c r="AF48" s="13" t="str">
        <f t="shared" ref="AF48:AF51" ca="1" si="75">IF(ISERROR(INDIRECT(ORÇAMENTO.BancoRef)),"(abra o arquivo 'Referência "&amp;Excel_BuiltIn_Database&amp;".xls)",IF(OR($C48&lt;&gt;"S",ORÇAMENTO.CodBarra=""),"(Sem Código)",IF(ISERROR(MATCH($AE48,INDIRECT(ORÇAMENTO.BancoRef),0)),"(Código não identificado nas referências)",MATCH($AE48,INDIRECT(ORÇAMENTO.BancoRef),0))))</f>
        <v>(abra o arquivo 'Referência 04-2024.xls)</v>
      </c>
      <c r="AG48" s="498">
        <f t="shared" ref="AG48:AG51" ca="1" si="76">ROUND(IF(DESONERACAO="sim",REFERENCIA.Desonerado,REFERENCIA.NaoDesonerado),2)</f>
        <v>0</v>
      </c>
      <c r="AH48" s="499">
        <f t="shared" ref="AH48:AH51" ca="1" si="77">ROUND(IF(ISNUMBER(ORÇAMENTO.OpcaoBDI),ORÇAMENTO.OpcaoBDI,IF(LEFT(ORÇAMENTO.OpcaoBDI,3)="BDI",HLOOKUP(ORÇAMENTO.OpcaoBDI,$F$4:$H$5,2,FALSE),0)),15-11*$AF$9)</f>
        <v>0.22869999999999999</v>
      </c>
      <c r="AJ48" s="501"/>
      <c r="AL48" s="527"/>
      <c r="AM48" s="380">
        <f t="shared" ca="1" si="0"/>
        <v>0</v>
      </c>
      <c r="AN48" s="566">
        <f t="shared" ref="AN48:AN51" ca="1" si="78">ROUND(ORÇAMENTO.CustoUnitario*(1+$AH48),2)</f>
        <v>0</v>
      </c>
    </row>
    <row r="49" spans="1:40" ht="25.5" x14ac:dyDescent="0.2">
      <c r="A49" t="str">
        <f t="shared" si="57"/>
        <v>S</v>
      </c>
      <c r="B49">
        <f t="shared" ca="1" si="58"/>
        <v>2</v>
      </c>
      <c r="C49" t="str">
        <f t="shared" ca="1" si="59"/>
        <v>S</v>
      </c>
      <c r="D49">
        <f t="shared" ca="1" si="60"/>
        <v>0</v>
      </c>
      <c r="E49">
        <f ca="1">IF($C49=1,OFFSET(E49,-1,0)+MAX(1,COUNTIF(QCI!$A$13:$A$15,OFFSET(ORÇAMENTO!E49,-1,0))),OFFSET(E49,-1,0))</f>
        <v>1</v>
      </c>
      <c r="F49">
        <f t="shared" ca="1" si="61"/>
        <v>11</v>
      </c>
      <c r="G49">
        <f t="shared" ca="1" si="62"/>
        <v>0</v>
      </c>
      <c r="H49">
        <f t="shared" ca="1" si="63"/>
        <v>0</v>
      </c>
      <c r="I49">
        <f t="shared" ca="1" si="64"/>
        <v>0</v>
      </c>
      <c r="J49">
        <f t="shared" ca="1" si="9"/>
        <v>0</v>
      </c>
      <c r="K49">
        <f ca="1">IF(OR($C49="S",$C49=0),0,MATCH(OFFSET($D49,0,$C49)+IF($C49&lt;&gt;1,1,COUNTIF(QCI!$A$13:$A$15,ORÇAMENTO!E49)),OFFSET($D49,1,$C49,ROW($C$52)-ROW($C49)),0))</f>
        <v>0</v>
      </c>
      <c r="L49" s="116" t="str">
        <f t="shared" ca="1" si="65"/>
        <v/>
      </c>
      <c r="M49" s="117" t="s">
        <v>201</v>
      </c>
      <c r="N49" s="118" t="str">
        <f t="shared" ca="1" si="66"/>
        <v>Serviço</v>
      </c>
      <c r="O49" s="119" t="str">
        <f t="shared" ca="1" si="67"/>
        <v>-</v>
      </c>
      <c r="P49" s="120" t="s">
        <v>461</v>
      </c>
      <c r="Q49" s="121" t="s">
        <v>460</v>
      </c>
      <c r="R49" s="122" t="str">
        <f ca="1">IF($C49="S",REFERENCIA.Descricao,"(digite a descrição aqui)")</f>
        <v>(abra o arquivo 'Referência 04-2024.xls)</v>
      </c>
      <c r="S49" s="123" t="str">
        <f t="shared" ca="1" si="68"/>
        <v>-</v>
      </c>
      <c r="T49" s="124">
        <f ca="1">OFFSET(CÁLCULO!H$15,ROW($T49)-ROW(T$15),0)</f>
        <v>2</v>
      </c>
      <c r="U49" s="125">
        <f t="shared" ref="U49:U51" ca="1" si="79">AG49</f>
        <v>0</v>
      </c>
      <c r="V49" s="126" t="s">
        <v>158</v>
      </c>
      <c r="W49" s="124">
        <f t="shared" ca="1" si="69"/>
        <v>0</v>
      </c>
      <c r="X49" s="127">
        <f t="shared" ca="1" si="70"/>
        <v>0</v>
      </c>
      <c r="Y49" s="128" t="s">
        <v>247</v>
      </c>
      <c r="Z49" t="str">
        <f t="shared" ca="1" si="71"/>
        <v/>
      </c>
      <c r="AA49" s="129">
        <f ca="1">IF($C49="S",IF($Z49="CP",$X49,IF($Z49="RA",(($X49)*QCI!$AA$3),0)),SomaAgrup)</f>
        <v>0</v>
      </c>
      <c r="AB49" s="130">
        <f t="shared" ca="1" si="72"/>
        <v>0</v>
      </c>
      <c r="AC49" s="131" t="str">
        <f t="shared" ca="1" si="73"/>
        <v/>
      </c>
      <c r="AD49" t="str">
        <f ca="1">IF(C49&lt;=CRONO.NivelExibicao,MAX($AD$15:OFFSET(AD49,-1,0))+IF($C49&lt;&gt;1,1,MAX(1,COUNTIF(QCI!$A$13:$A$15,OFFSET($E49,-1,0)))),"")</f>
        <v/>
      </c>
      <c r="AE49" s="7" t="str">
        <f t="shared" ca="1" si="74"/>
        <v>COMPOSIÇÃO 007</v>
      </c>
      <c r="AF49" s="13" t="str">
        <f t="shared" ca="1" si="75"/>
        <v>(abra o arquivo 'Referência 04-2024.xls)</v>
      </c>
      <c r="AG49" s="498">
        <f t="shared" ca="1" si="76"/>
        <v>0</v>
      </c>
      <c r="AH49" s="499">
        <f t="shared" ca="1" si="77"/>
        <v>0.22869999999999999</v>
      </c>
      <c r="AJ49" s="501">
        <v>4</v>
      </c>
      <c r="AL49" s="527"/>
      <c r="AM49" s="380">
        <f t="shared" ca="1" si="0"/>
        <v>0</v>
      </c>
      <c r="AN49" s="566">
        <f t="shared" ca="1" si="78"/>
        <v>0</v>
      </c>
    </row>
    <row r="50" spans="1:40" s="587" customFormat="1" ht="25.5" x14ac:dyDescent="0.2">
      <c r="A50" s="587" t="str">
        <f t="shared" si="57"/>
        <v>S</v>
      </c>
      <c r="B50" s="587">
        <f t="shared" ca="1" si="58"/>
        <v>2</v>
      </c>
      <c r="C50" s="587" t="str">
        <f t="shared" ca="1" si="59"/>
        <v>S</v>
      </c>
      <c r="D50" s="587">
        <f t="shared" ca="1" si="60"/>
        <v>0</v>
      </c>
      <c r="E50" s="587">
        <f ca="1">IF($C50=1,OFFSET(E50,-1,0)+MAX(1,COUNTIF(QCI!$A$13:$A$15,OFFSET(ORÇAMENTO!E50,-1,0))),OFFSET(E50,-1,0))</f>
        <v>1</v>
      </c>
      <c r="F50" s="587">
        <f t="shared" ca="1" si="61"/>
        <v>11</v>
      </c>
      <c r="G50" s="587">
        <f t="shared" ca="1" si="62"/>
        <v>0</v>
      </c>
      <c r="H50" s="587">
        <f t="shared" ca="1" si="63"/>
        <v>0</v>
      </c>
      <c r="I50" s="587">
        <f t="shared" ca="1" si="64"/>
        <v>0</v>
      </c>
      <c r="J50" s="587">
        <f t="shared" ca="1" si="9"/>
        <v>0</v>
      </c>
      <c r="K50" s="587">
        <f ca="1">IF(OR($C50="S",$C50=0),0,MATCH(OFFSET($D50,0,$C50)+IF($C50&lt;&gt;1,1,COUNTIF(QCI!$A$13:$A$15,ORÇAMENTO!E50)),OFFSET($D50,1,$C50,ROW($C$52)-ROW($C50)),0))</f>
        <v>0</v>
      </c>
      <c r="L50" s="116" t="str">
        <f t="shared" ca="1" si="65"/>
        <v/>
      </c>
      <c r="M50" s="117" t="s">
        <v>201</v>
      </c>
      <c r="N50" s="118" t="str">
        <f t="shared" ca="1" si="66"/>
        <v>Serviço</v>
      </c>
      <c r="O50" s="119" t="str">
        <f t="shared" ca="1" si="67"/>
        <v>-</v>
      </c>
      <c r="P50" s="120" t="s">
        <v>462</v>
      </c>
      <c r="Q50" s="121" t="s">
        <v>520</v>
      </c>
      <c r="R50" s="122" t="str">
        <f ca="1">IF($C50="S",REFERENCIA.Descricao,"(digite a descrição aqui)")</f>
        <v>(abra o arquivo 'Referência 04-2024.xls)</v>
      </c>
      <c r="S50" s="123" t="str">
        <f t="shared" ca="1" si="68"/>
        <v>-</v>
      </c>
      <c r="T50" s="124">
        <f ca="1">OFFSET(CÁLCULO!H$15,ROW($T50)-ROW(T$15),0)</f>
        <v>4</v>
      </c>
      <c r="U50" s="125">
        <f t="shared" ca="1" si="79"/>
        <v>0</v>
      </c>
      <c r="V50" s="126" t="s">
        <v>158</v>
      </c>
      <c r="W50" s="124">
        <f t="shared" ca="1" si="69"/>
        <v>0</v>
      </c>
      <c r="X50" s="127">
        <f t="shared" ca="1" si="70"/>
        <v>0</v>
      </c>
      <c r="Y50" s="128" t="s">
        <v>247</v>
      </c>
      <c r="Z50" s="587" t="str">
        <f t="shared" ca="1" si="71"/>
        <v/>
      </c>
      <c r="AA50" s="129">
        <f ca="1">IF($C50="S",IF($Z50="CP",$X50,IF($Z50="RA",(($X50)*QCI!$AA$3),0)),SomaAgrup)</f>
        <v>0</v>
      </c>
      <c r="AB50" s="130">
        <f t="shared" ca="1" si="72"/>
        <v>0</v>
      </c>
      <c r="AC50" s="131" t="str">
        <f t="shared" ca="1" si="73"/>
        <v/>
      </c>
      <c r="AD50" s="587" t="str">
        <f ca="1">IF(C50&lt;=CRONO.NivelExibicao,MAX($AD$15:OFFSET(AD50,-1,0))+IF($C50&lt;&gt;1,1,MAX(1,COUNTIF(QCI!$A$13:$A$15,OFFSET($E50,-1,0)))),"")</f>
        <v/>
      </c>
      <c r="AE50" s="7" t="str">
        <f t="shared" ca="1" si="74"/>
        <v>Composição 025</v>
      </c>
      <c r="AF50" s="586" t="str">
        <f t="shared" ca="1" si="75"/>
        <v>(abra o arquivo 'Referência 04-2024.xls)</v>
      </c>
      <c r="AG50" s="498">
        <f t="shared" ca="1" si="76"/>
        <v>0</v>
      </c>
      <c r="AH50" s="499">
        <f t="shared" ca="1" si="77"/>
        <v>0.22869999999999999</v>
      </c>
      <c r="AJ50" s="501"/>
      <c r="AL50" s="527"/>
      <c r="AM50" s="380">
        <f t="shared" ca="1" si="0"/>
        <v>0</v>
      </c>
      <c r="AN50" s="566">
        <f t="shared" ca="1" si="78"/>
        <v>0</v>
      </c>
    </row>
    <row r="51" spans="1:40" s="587" customFormat="1" ht="25.5" x14ac:dyDescent="0.2">
      <c r="A51" s="587" t="str">
        <f t="shared" si="57"/>
        <v>S</v>
      </c>
      <c r="B51" s="587">
        <f t="shared" ca="1" si="58"/>
        <v>2</v>
      </c>
      <c r="C51" s="587" t="str">
        <f t="shared" ca="1" si="59"/>
        <v>S</v>
      </c>
      <c r="D51" s="587">
        <f t="shared" ca="1" si="60"/>
        <v>0</v>
      </c>
      <c r="E51" s="587">
        <f ca="1">IF($C51=1,OFFSET(E51,-1,0)+MAX(1,COUNTIF(QCI!$A$13:$A$15,OFFSET(ORÇAMENTO!E51,-1,0))),OFFSET(E51,-1,0))</f>
        <v>1</v>
      </c>
      <c r="F51" s="587">
        <f t="shared" ca="1" si="61"/>
        <v>11</v>
      </c>
      <c r="G51" s="587">
        <f t="shared" ca="1" si="62"/>
        <v>0</v>
      </c>
      <c r="H51" s="587">
        <f t="shared" ca="1" si="63"/>
        <v>0</v>
      </c>
      <c r="I51" s="587">
        <f t="shared" ca="1" si="64"/>
        <v>0</v>
      </c>
      <c r="J51" s="587">
        <f t="shared" ca="1" si="9"/>
        <v>0</v>
      </c>
      <c r="K51" s="587">
        <f ca="1">IF(OR($C51="S",$C51=0),0,MATCH(OFFSET($D51,0,$C51)+IF($C51&lt;&gt;1,1,COUNTIF(QCI!$A$13:$A$15,ORÇAMENTO!E51)),OFFSET($D51,1,$C51,ROW($C$52)-ROW($C51)),0))</f>
        <v>0</v>
      </c>
      <c r="L51" s="116" t="str">
        <f t="shared" ca="1" si="65"/>
        <v/>
      </c>
      <c r="M51" s="117" t="s">
        <v>201</v>
      </c>
      <c r="N51" s="118" t="str">
        <f t="shared" ca="1" si="66"/>
        <v>Serviço</v>
      </c>
      <c r="O51" s="119" t="str">
        <f t="shared" ca="1" si="67"/>
        <v>-</v>
      </c>
      <c r="P51" s="120" t="s">
        <v>462</v>
      </c>
      <c r="Q51" s="121" t="s">
        <v>521</v>
      </c>
      <c r="R51" s="122" t="str">
        <f ca="1">IF($C51="S",REFERENCIA.Descricao,"(digite a descrição aqui)")</f>
        <v>(abra o arquivo 'Referência 04-2024.xls)</v>
      </c>
      <c r="S51" s="123" t="str">
        <f t="shared" ca="1" si="68"/>
        <v>-</v>
      </c>
      <c r="T51" s="124">
        <f ca="1">OFFSET(CÁLCULO!H$15,ROW($T51)-ROW(T$15),0)</f>
        <v>2</v>
      </c>
      <c r="U51" s="125">
        <f t="shared" ca="1" si="79"/>
        <v>0</v>
      </c>
      <c r="V51" s="126" t="s">
        <v>158</v>
      </c>
      <c r="W51" s="124">
        <f t="shared" ca="1" si="69"/>
        <v>0</v>
      </c>
      <c r="X51" s="127">
        <f t="shared" ca="1" si="70"/>
        <v>0</v>
      </c>
      <c r="Y51" s="128" t="s">
        <v>247</v>
      </c>
      <c r="Z51" s="587" t="str">
        <f t="shared" ca="1" si="71"/>
        <v/>
      </c>
      <c r="AA51" s="129">
        <f ca="1">IF($C51="S",IF($Z51="CP",$X51,IF($Z51="RA",(($X51)*QCI!$AA$3),0)),SomaAgrup)</f>
        <v>0</v>
      </c>
      <c r="AB51" s="130">
        <f t="shared" ca="1" si="72"/>
        <v>0</v>
      </c>
      <c r="AC51" s="131" t="str">
        <f t="shared" ca="1" si="73"/>
        <v/>
      </c>
      <c r="AD51" s="587" t="str">
        <f ca="1">IF(C51&lt;=CRONO.NivelExibicao,MAX($AD$15:OFFSET(AD51,-1,0))+IF($C51&lt;&gt;1,1,MAX(1,COUNTIF(QCI!$A$13:$A$15,OFFSET($E51,-1,0)))),"")</f>
        <v/>
      </c>
      <c r="AE51" s="7" t="str">
        <f t="shared" ca="1" si="74"/>
        <v>Composição 31</v>
      </c>
      <c r="AF51" s="586" t="str">
        <f t="shared" ca="1" si="75"/>
        <v>(abra o arquivo 'Referência 04-2024.xls)</v>
      </c>
      <c r="AG51" s="498">
        <f t="shared" ca="1" si="76"/>
        <v>0</v>
      </c>
      <c r="AH51" s="499">
        <f t="shared" ca="1" si="77"/>
        <v>0.22869999999999999</v>
      </c>
      <c r="AJ51" s="501"/>
      <c r="AL51" s="527"/>
      <c r="AM51" s="380">
        <f t="shared" ca="1" si="0"/>
        <v>0</v>
      </c>
      <c r="AN51" s="566">
        <f t="shared" ca="1" si="78"/>
        <v>0</v>
      </c>
    </row>
    <row r="52" spans="1:40" ht="5.0999999999999996" customHeight="1" x14ac:dyDescent="0.2">
      <c r="A52">
        <v>-1</v>
      </c>
      <c r="C52">
        <v>-1</v>
      </c>
      <c r="E52">
        <v>0</v>
      </c>
      <c r="F52">
        <v>0</v>
      </c>
      <c r="G52">
        <v>0</v>
      </c>
      <c r="H52">
        <v>0</v>
      </c>
      <c r="I52">
        <v>0</v>
      </c>
      <c r="L52" s="116" t="s">
        <v>248</v>
      </c>
      <c r="M52" s="492"/>
      <c r="N52" s="493"/>
      <c r="O52" s="492"/>
      <c r="P52" s="494"/>
      <c r="Q52" s="494"/>
      <c r="R52" s="494"/>
      <c r="S52" s="494"/>
      <c r="T52" s="494"/>
      <c r="U52" s="494"/>
      <c r="V52" s="494"/>
      <c r="W52" s="494"/>
      <c r="X52" s="493"/>
      <c r="AG52" s="484"/>
      <c r="AH52" s="486"/>
      <c r="AJ52" s="495"/>
      <c r="AL52" s="484"/>
      <c r="AM52" s="485"/>
      <c r="AN52" s="486"/>
    </row>
    <row r="55" spans="1:40" ht="14.25" x14ac:dyDescent="0.2">
      <c r="O55" s="140" t="s">
        <v>250</v>
      </c>
      <c r="Q55" s="624" t="s">
        <v>251</v>
      </c>
      <c r="R55" s="624"/>
      <c r="S55" s="624"/>
      <c r="T55" s="624"/>
      <c r="U55" s="624"/>
      <c r="V55" s="624"/>
      <c r="W55" s="624"/>
      <c r="X55" s="624"/>
    </row>
    <row r="57" spans="1:40" ht="14.25" x14ac:dyDescent="0.2">
      <c r="O57" s="141" t="s">
        <v>189</v>
      </c>
      <c r="X57" s="4"/>
    </row>
    <row r="58" spans="1:40" ht="12.75" customHeight="1" x14ac:dyDescent="0.2">
      <c r="O58" s="625"/>
      <c r="P58" s="625"/>
      <c r="Q58" s="625"/>
      <c r="R58" s="625"/>
      <c r="S58" s="625"/>
      <c r="T58" s="625"/>
      <c r="U58" s="625"/>
      <c r="V58" s="625"/>
      <c r="W58" s="625"/>
      <c r="X58" s="625"/>
    </row>
    <row r="59" spans="1:40" x14ac:dyDescent="0.2">
      <c r="O59" s="625"/>
      <c r="P59" s="625"/>
      <c r="Q59" s="625"/>
      <c r="R59" s="625"/>
      <c r="S59" s="625"/>
      <c r="T59" s="625"/>
      <c r="U59" s="625"/>
      <c r="V59" s="625"/>
      <c r="W59" s="625"/>
      <c r="X59" s="625"/>
    </row>
    <row r="60" spans="1:40" x14ac:dyDescent="0.2">
      <c r="O60" s="625"/>
      <c r="P60" s="625"/>
      <c r="Q60" s="625"/>
      <c r="R60" s="625"/>
      <c r="S60" s="625"/>
      <c r="T60" s="625"/>
      <c r="U60" s="625"/>
      <c r="V60" s="625"/>
      <c r="W60" s="625"/>
      <c r="X60" s="625"/>
    </row>
    <row r="61" spans="1:40" ht="14.25" x14ac:dyDescent="0.2"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142"/>
      <c r="AA61" s="142"/>
      <c r="AB61" s="142"/>
    </row>
    <row r="62" spans="1:40" ht="15" x14ac:dyDescent="0.25">
      <c r="O62" s="626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62" s="626"/>
      <c r="Q62" s="626"/>
      <c r="R62" s="626"/>
      <c r="S62" s="626"/>
      <c r="T62" s="626"/>
      <c r="U62" s="626"/>
      <c r="V62" s="626"/>
      <c r="W62" s="626"/>
      <c r="X62" s="626"/>
      <c r="Y62" s="143"/>
      <c r="Z62" s="143"/>
      <c r="AA62" s="143"/>
      <c r="AB62" s="143"/>
    </row>
    <row r="63" spans="1:40" ht="15" customHeight="1" x14ac:dyDescent="0.25">
      <c r="O63" s="628" t="s">
        <v>252</v>
      </c>
      <c r="P63" s="628"/>
      <c r="Q63" s="628"/>
      <c r="R63" s="628"/>
      <c r="S63" s="628"/>
      <c r="T63" s="628"/>
      <c r="U63" s="628"/>
      <c r="V63" s="628"/>
      <c r="W63" s="628"/>
      <c r="X63" s="628"/>
      <c r="Y63" s="143"/>
      <c r="Z63" s="143"/>
      <c r="AA63" s="143"/>
      <c r="AB63" s="143"/>
    </row>
    <row r="65" spans="15:23" ht="30" customHeight="1" x14ac:dyDescent="0.2">
      <c r="O65" s="627" t="str">
        <f>Import.Município</f>
        <v>Caçapava do Sul/RS</v>
      </c>
      <c r="P65" s="627"/>
      <c r="Q65" s="627"/>
      <c r="S65" s="553"/>
      <c r="T65" s="553"/>
      <c r="U65" s="553"/>
      <c r="V65" s="553"/>
      <c r="W65" s="479"/>
    </row>
    <row r="66" spans="15:23" x14ac:dyDescent="0.2">
      <c r="O66" s="10" t="s">
        <v>190</v>
      </c>
      <c r="S66" s="194" t="s">
        <v>192</v>
      </c>
      <c r="T66" s="194"/>
      <c r="U66" s="194"/>
      <c r="V66" s="194"/>
    </row>
    <row r="67" spans="15:23" x14ac:dyDescent="0.2">
      <c r="S67" s="78" t="s">
        <v>109</v>
      </c>
      <c r="T67" s="79" t="str">
        <f t="array" ref="T67:T69">Import.RespOrçamento</f>
        <v>Schaiane da Silva Lopes</v>
      </c>
      <c r="V67" s="80"/>
    </row>
    <row r="68" spans="15:23" x14ac:dyDescent="0.2">
      <c r="O68" s="622">
        <f ca="1">DADOS!$F$25</f>
        <v>45518</v>
      </c>
      <c r="P68" s="622"/>
      <c r="Q68" s="622"/>
      <c r="S68" s="78" t="s">
        <v>110</v>
      </c>
      <c r="T68" s="79" t="str">
        <v>RS142294-4</v>
      </c>
      <c r="U68" s="80"/>
      <c r="V68" s="80"/>
    </row>
    <row r="69" spans="15:23" x14ac:dyDescent="0.2">
      <c r="O69" s="146" t="s">
        <v>191</v>
      </c>
      <c r="P69" s="1"/>
      <c r="Q69" s="1"/>
      <c r="S69" s="78" t="s">
        <v>111</v>
      </c>
      <c r="T69" s="79" t="str">
        <v>12377498</v>
      </c>
      <c r="U69" s="80"/>
      <c r="V69" s="80"/>
    </row>
  </sheetData>
  <sheetProtection password="BD1F" sheet="1" objects="1" scenarios="1" autoFilter="0"/>
  <autoFilter ref="L15:L52"/>
  <mergeCells count="24">
    <mergeCell ref="AE5:AF5"/>
    <mergeCell ref="O7:P7"/>
    <mergeCell ref="S7:U7"/>
    <mergeCell ref="AL7:AL11"/>
    <mergeCell ref="Y8:Y12"/>
    <mergeCell ref="Z8:Z12"/>
    <mergeCell ref="AA12:AB12"/>
    <mergeCell ref="AJ7:AJ11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O68:Q68"/>
    <mergeCell ref="O15:R15"/>
    <mergeCell ref="Q55:X55"/>
    <mergeCell ref="O58:X60"/>
    <mergeCell ref="O62:X62"/>
    <mergeCell ref="O65:Q65"/>
    <mergeCell ref="O63:X63"/>
  </mergeCells>
  <phoneticPr fontId="38" type="noConversion"/>
  <conditionalFormatting sqref="M14 M20 M32:M33 M22:M24 M26:M28 M49 M46:M47">
    <cfRule type="cellIs" dxfId="504" priority="9482" stopIfTrue="1" operator="notEqual">
      <formula>$N14</formula>
    </cfRule>
  </conditionalFormatting>
  <conditionalFormatting sqref="N14:O14 R14 W14:X14 W24:X24 N24:O24 N20:O20 R20 W20:X20 N32:O33 W32:X33 R32:R33 R26:R28 N26:O28 W26:X28 N49:O49 W49:X49 N46:O47 W46:X47 R46:R49">
    <cfRule type="expression" dxfId="503" priority="9483" stopIfTrue="1">
      <formula>$C14=1</formula>
    </cfRule>
    <cfRule type="expression" dxfId="502" priority="9484" stopIfTrue="1">
      <formula>OR($C14=0,$C14=2,$C14=3,$C14=4)</formula>
    </cfRule>
  </conditionalFormatting>
  <conditionalFormatting sqref="U14:V14 U30:U31 V24 U20:V20 U32:V33 U24:U28 V49 U34:U43 V46:V47 U45:U51">
    <cfRule type="expression" dxfId="501" priority="9485" stopIfTrue="1">
      <formula>$C14=1</formula>
    </cfRule>
    <cfRule type="expression" dxfId="500" priority="9486" stopIfTrue="1">
      <formula>OR($C14=0,$C14=2,$C14=3,$C14=4)</formula>
    </cfRule>
    <cfRule type="expression" dxfId="499" priority="9487" stopIfTrue="1">
      <formula>AND(TIPOORCAMENTO="Licitado",$C14&lt;&gt;"L",$C14&lt;&gt;-1)</formula>
    </cfRule>
  </conditionalFormatting>
  <conditionalFormatting sqref="P14:Q14 S14:T14 Y14 AG14:AH14 S22:T23 P20:Q20 S20:T20 Y20 AG20:AH20 P32:Q33 S32:T33 Y32:Y33 AG32:AH33 AG22:AH24 Y22:Y24 P22:Q24 S26:S28 P26:Q28 Y26:Y28 AG26:AH28 P49:Q49 S49:T49 Y49 AG49:AH49 P46:Q47 S46:T47 Y46:Y47 AG46:AH47">
    <cfRule type="expression" dxfId="498" priority="9488" stopIfTrue="1">
      <formula>$C14=1</formula>
    </cfRule>
    <cfRule type="expression" dxfId="497" priority="9489" stopIfTrue="1">
      <formula>OR($C14=0,$C14=2,$C14=3,$C14=4)</formula>
    </cfRule>
  </conditionalFormatting>
  <conditionalFormatting sqref="AJ7:AJ15 AJ20 AJ32:AJ33 AJ22:AJ24 AJ26:AJ28 AJ49 AJ52 AJ46:AJ47">
    <cfRule type="expression" dxfId="496" priority="9490" stopIfTrue="1">
      <formula>OR(ACOMPANHAMENTO&lt;&gt;"BM",TIPOORCAMENTO="Licitado")</formula>
    </cfRule>
    <cfRule type="expression" dxfId="495" priority="9491" stopIfTrue="1">
      <formula>$C7=1</formula>
    </cfRule>
    <cfRule type="expression" dxfId="494" priority="9492" stopIfTrue="1">
      <formula>OR(AND(ISNUMBER($C7),$C7=0),$C7=2,$C7=3,$C7=4)</formula>
    </cfRule>
  </conditionalFormatting>
  <conditionalFormatting sqref="AL7:AL15 AL20 AL32:AL33 AL22:AL24 AL26:AL28 AL49 AL52 AL46:AL47">
    <cfRule type="expression" dxfId="493" priority="9493" stopIfTrue="1">
      <formula>TIPOORCAMENTO="PROPOSTO"</formula>
    </cfRule>
    <cfRule type="expression" dxfId="492" priority="9494" stopIfTrue="1">
      <formula>$C7=1</formula>
    </cfRule>
    <cfRule type="expression" dxfId="491" priority="9495" stopIfTrue="1">
      <formula>OR(AND(ISNUMBER($C7),$C7=0),$C7=2,$C7=3,$C7=4)</formula>
    </cfRule>
  </conditionalFormatting>
  <conditionalFormatting sqref="O8:P8">
    <cfRule type="expression" dxfId="490" priority="9499" stopIfTrue="1">
      <formula>ISERROR(INDIRECT($F$9))</formula>
    </cfRule>
  </conditionalFormatting>
  <conditionalFormatting sqref="AM7:AN15 AM24:AN24 AM20:AN20 AM32:AN33 AM26:AN28 AM49:AN49 AM52:AN52 AM46:AN47">
    <cfRule type="expression" dxfId="489" priority="9496" stopIfTrue="1">
      <formula>TIPOORCAMENTO="PROPOSTO"</formula>
    </cfRule>
    <cfRule type="expression" dxfId="488" priority="9497" stopIfTrue="1">
      <formula>$C7=1</formula>
    </cfRule>
    <cfRule type="expression" dxfId="487" priority="9498" stopIfTrue="1">
      <formula>OR(AND(ISNUMBER($C7),$C7=0),$C7=2,$C7=3,$C7=4)</formula>
    </cfRule>
  </conditionalFormatting>
  <conditionalFormatting sqref="M16 M19 M21">
    <cfRule type="cellIs" dxfId="486" priority="2164" stopIfTrue="1" operator="notEqual">
      <formula>$N16</formula>
    </cfRule>
  </conditionalFormatting>
  <conditionalFormatting sqref="R24 R16 N16:O16 W16:X16 W19:X19 N19:O19 R19 N21:O21 W21:X21 R26:R28">
    <cfRule type="expression" dxfId="485" priority="2165" stopIfTrue="1">
      <formula>$C16=1</formula>
    </cfRule>
    <cfRule type="expression" dxfId="484" priority="2166" stopIfTrue="1">
      <formula>OR($C16=0,$C16=2,$C16=3,$C16=4)</formula>
    </cfRule>
  </conditionalFormatting>
  <conditionalFormatting sqref="U16:V16 U19:V19 U21:V21 V26:V28">
    <cfRule type="expression" dxfId="483" priority="2167" stopIfTrue="1">
      <formula>$C16=1</formula>
    </cfRule>
    <cfRule type="expression" dxfId="482" priority="2168" stopIfTrue="1">
      <formula>OR($C16=0,$C16=2,$C16=3,$C16=4)</formula>
    </cfRule>
    <cfRule type="expression" dxfId="481" priority="2169" stopIfTrue="1">
      <formula>AND(TIPOORCAMENTO="Licitado",$C16&lt;&gt;"L",$C16&lt;&gt;-1)</formula>
    </cfRule>
  </conditionalFormatting>
  <conditionalFormatting sqref="S24:T24 T21 S16:T16 P16:Q16 Y16 AG16:AH16 AG19:AH19 Y19 P19:Q19 S19:T19 P21:Q21 Y21 AG21:AH21 T26:T28">
    <cfRule type="expression" dxfId="480" priority="2170" stopIfTrue="1">
      <formula>$C16=1</formula>
    </cfRule>
    <cfRule type="expression" dxfId="479" priority="2171" stopIfTrue="1">
      <formula>OR($C16=0,$C16=2,$C16=3,$C16=4)</formula>
    </cfRule>
  </conditionalFormatting>
  <conditionalFormatting sqref="AJ16 AJ19 AJ21">
    <cfRule type="expression" dxfId="478" priority="2172" stopIfTrue="1">
      <formula>OR(ACOMPANHAMENTO&lt;&gt;"BM",TIPOORCAMENTO="Licitado")</formula>
    </cfRule>
    <cfRule type="expression" dxfId="477" priority="2173" stopIfTrue="1">
      <formula>$C16=1</formula>
    </cfRule>
    <cfRule type="expression" dxfId="476" priority="2174" stopIfTrue="1">
      <formula>OR(AND(ISNUMBER($C16),$C16=0),$C16=2,$C16=3,$C16=4)</formula>
    </cfRule>
  </conditionalFormatting>
  <conditionalFormatting sqref="AL16 AL19 AL21">
    <cfRule type="expression" dxfId="475" priority="2175" stopIfTrue="1">
      <formula>TIPOORCAMENTO="PROPOSTO"</formula>
    </cfRule>
    <cfRule type="expression" dxfId="474" priority="2176" stopIfTrue="1">
      <formula>$C16=1</formula>
    </cfRule>
    <cfRule type="expression" dxfId="473" priority="2177" stopIfTrue="1">
      <formula>OR(AND(ISNUMBER($C16),$C16=0),$C16=2,$C16=3,$C16=4)</formula>
    </cfRule>
  </conditionalFormatting>
  <conditionalFormatting sqref="AM16:AN16 AM19:AN19 AM21:AN21">
    <cfRule type="expression" dxfId="472" priority="2178" stopIfTrue="1">
      <formula>TIPOORCAMENTO="PROPOSTO"</formula>
    </cfRule>
    <cfRule type="expression" dxfId="471" priority="2179" stopIfTrue="1">
      <formula>$C16=1</formula>
    </cfRule>
    <cfRule type="expression" dxfId="470" priority="2180" stopIfTrue="1">
      <formula>OR(AND(ISNUMBER($C16),$C16=0),$C16=2,$C16=3,$C16=4)</formula>
    </cfRule>
  </conditionalFormatting>
  <conditionalFormatting sqref="R21">
    <cfRule type="expression" dxfId="469" priority="2041" stopIfTrue="1">
      <formula>$C21=1</formula>
    </cfRule>
    <cfRule type="expression" dxfId="468" priority="2042" stopIfTrue="1">
      <formula>OR($C21=0,$C21=2,$C21=3,$C21=4)</formula>
    </cfRule>
  </conditionalFormatting>
  <conditionalFormatting sqref="M48">
    <cfRule type="cellIs" dxfId="467" priority="1027" stopIfTrue="1" operator="notEqual">
      <formula>$N48</formula>
    </cfRule>
  </conditionalFormatting>
  <conditionalFormatting sqref="N48:O48 W48:X48">
    <cfRule type="expression" dxfId="466" priority="1028" stopIfTrue="1">
      <formula>$C48=1</formula>
    </cfRule>
    <cfRule type="expression" dxfId="465" priority="1029" stopIfTrue="1">
      <formula>OR($C48=0,$C48=2,$C48=3,$C48=4)</formula>
    </cfRule>
  </conditionalFormatting>
  <conditionalFormatting sqref="V48">
    <cfRule type="expression" dxfId="464" priority="1030" stopIfTrue="1">
      <formula>$C48=1</formula>
    </cfRule>
    <cfRule type="expression" dxfId="463" priority="1031" stopIfTrue="1">
      <formula>OR($C48=0,$C48=2,$C48=3,$C48=4)</formula>
    </cfRule>
    <cfRule type="expression" dxfId="462" priority="1032" stopIfTrue="1">
      <formula>AND(TIPOORCAMENTO="Licitado",$C48&lt;&gt;"L",$C48&lt;&gt;-1)</formula>
    </cfRule>
  </conditionalFormatting>
  <conditionalFormatting sqref="P48:Q48 S48:T48 Y48 AG48:AH48">
    <cfRule type="expression" dxfId="461" priority="1033" stopIfTrue="1">
      <formula>$C48=1</formula>
    </cfRule>
    <cfRule type="expression" dxfId="460" priority="1034" stopIfTrue="1">
      <formula>OR($C48=0,$C48=2,$C48=3,$C48=4)</formula>
    </cfRule>
  </conditionalFormatting>
  <conditionalFormatting sqref="AJ48">
    <cfRule type="expression" dxfId="459" priority="1035" stopIfTrue="1">
      <formula>OR(ACOMPANHAMENTO&lt;&gt;"BM",TIPOORCAMENTO="Licitado")</formula>
    </cfRule>
    <cfRule type="expression" dxfId="458" priority="1036" stopIfTrue="1">
      <formula>$C48=1</formula>
    </cfRule>
    <cfRule type="expression" dxfId="457" priority="1037" stopIfTrue="1">
      <formula>OR(AND(ISNUMBER($C48),$C48=0),$C48=2,$C48=3,$C48=4)</formula>
    </cfRule>
  </conditionalFormatting>
  <conditionalFormatting sqref="AL48">
    <cfRule type="expression" dxfId="456" priority="1038" stopIfTrue="1">
      <formula>TIPOORCAMENTO="PROPOSTO"</formula>
    </cfRule>
    <cfRule type="expression" dxfId="455" priority="1039" stopIfTrue="1">
      <formula>$C48=1</formula>
    </cfRule>
    <cfRule type="expression" dxfId="454" priority="1040" stopIfTrue="1">
      <formula>OR(AND(ISNUMBER($C48),$C48=0),$C48=2,$C48=3,$C48=4)</formula>
    </cfRule>
  </conditionalFormatting>
  <conditionalFormatting sqref="AM48:AN48">
    <cfRule type="expression" dxfId="453" priority="1041" stopIfTrue="1">
      <formula>TIPOORCAMENTO="PROPOSTO"</formula>
    </cfRule>
    <cfRule type="expression" dxfId="452" priority="1042" stopIfTrue="1">
      <formula>$C48=1</formula>
    </cfRule>
    <cfRule type="expression" dxfId="451" priority="1043" stopIfTrue="1">
      <formula>OR(AND(ISNUMBER($C48),$C48=0),$C48=2,$C48=3,$C48=4)</formula>
    </cfRule>
  </conditionalFormatting>
  <conditionalFormatting sqref="S21">
    <cfRule type="expression" dxfId="450" priority="931" stopIfTrue="1">
      <formula>$C21=1</formula>
    </cfRule>
    <cfRule type="expression" dxfId="449" priority="932" stopIfTrue="1">
      <formula>OR($C21=0,$C21=2,$C21=3,$C21=4)</formula>
    </cfRule>
  </conditionalFormatting>
  <conditionalFormatting sqref="M30">
    <cfRule type="cellIs" dxfId="448" priority="694" stopIfTrue="1" operator="notEqual">
      <formula>$N30</formula>
    </cfRule>
  </conditionalFormatting>
  <conditionalFormatting sqref="N30:O30 R30 W30:X30">
    <cfRule type="expression" dxfId="447" priority="695" stopIfTrue="1">
      <formula>$C30=1</formula>
    </cfRule>
    <cfRule type="expression" dxfId="446" priority="696" stopIfTrue="1">
      <formula>OR($C30=0,$C30=2,$C30=3,$C30=4)</formula>
    </cfRule>
  </conditionalFormatting>
  <conditionalFormatting sqref="V30">
    <cfRule type="expression" dxfId="445" priority="697" stopIfTrue="1">
      <formula>$C30=1</formula>
    </cfRule>
    <cfRule type="expression" dxfId="444" priority="698" stopIfTrue="1">
      <formula>OR($C30=0,$C30=2,$C30=3,$C30=4)</formula>
    </cfRule>
    <cfRule type="expression" dxfId="443" priority="699" stopIfTrue="1">
      <formula>AND(TIPOORCAMENTO="Licitado",$C30&lt;&gt;"L",$C30&lt;&gt;-1)</formula>
    </cfRule>
  </conditionalFormatting>
  <conditionalFormatting sqref="P30:Q30 S30:T30 Y30 AG30:AH30">
    <cfRule type="expression" dxfId="442" priority="700" stopIfTrue="1">
      <formula>$C30=1</formula>
    </cfRule>
    <cfRule type="expression" dxfId="441" priority="701" stopIfTrue="1">
      <formula>OR($C30=0,$C30=2,$C30=3,$C30=4)</formula>
    </cfRule>
  </conditionalFormatting>
  <conditionalFormatting sqref="AJ30">
    <cfRule type="expression" dxfId="440" priority="702" stopIfTrue="1">
      <formula>OR(ACOMPANHAMENTO&lt;&gt;"BM",TIPOORCAMENTO="Licitado")</formula>
    </cfRule>
    <cfRule type="expression" dxfId="439" priority="703" stopIfTrue="1">
      <formula>$C30=1</formula>
    </cfRule>
    <cfRule type="expression" dxfId="438" priority="704" stopIfTrue="1">
      <formula>OR(AND(ISNUMBER($C30),$C30=0),$C30=2,$C30=3,$C30=4)</formula>
    </cfRule>
  </conditionalFormatting>
  <conditionalFormatting sqref="AL30">
    <cfRule type="expression" dxfId="437" priority="705" stopIfTrue="1">
      <formula>TIPOORCAMENTO="PROPOSTO"</formula>
    </cfRule>
    <cfRule type="expression" dxfId="436" priority="706" stopIfTrue="1">
      <formula>$C30=1</formula>
    </cfRule>
    <cfRule type="expression" dxfId="435" priority="707" stopIfTrue="1">
      <formula>OR(AND(ISNUMBER($C30),$C30=0),$C30=2,$C30=3,$C30=4)</formula>
    </cfRule>
  </conditionalFormatting>
  <conditionalFormatting sqref="AM30:AN30">
    <cfRule type="expression" dxfId="434" priority="708" stopIfTrue="1">
      <formula>TIPOORCAMENTO="PROPOSTO"</formula>
    </cfRule>
    <cfRule type="expression" dxfId="433" priority="709" stopIfTrue="1">
      <formula>$C30=1</formula>
    </cfRule>
    <cfRule type="expression" dxfId="432" priority="710" stopIfTrue="1">
      <formula>OR(AND(ISNUMBER($C30),$C30=0),$C30=2,$C30=3,$C30=4)</formula>
    </cfRule>
  </conditionalFormatting>
  <conditionalFormatting sqref="M31">
    <cfRule type="cellIs" dxfId="431" priority="592" stopIfTrue="1" operator="notEqual">
      <formula>$N31</formula>
    </cfRule>
  </conditionalFormatting>
  <conditionalFormatting sqref="N31:O31 R31 W31:X31">
    <cfRule type="expression" dxfId="430" priority="593" stopIfTrue="1">
      <formula>$C31=1</formula>
    </cfRule>
    <cfRule type="expression" dxfId="429" priority="594" stopIfTrue="1">
      <formula>OR($C31=0,$C31=2,$C31=3,$C31=4)</formula>
    </cfRule>
  </conditionalFormatting>
  <conditionalFormatting sqref="V31">
    <cfRule type="expression" dxfId="428" priority="595" stopIfTrue="1">
      <formula>$C31=1</formula>
    </cfRule>
    <cfRule type="expression" dxfId="427" priority="596" stopIfTrue="1">
      <formula>OR($C31=0,$C31=2,$C31=3,$C31=4)</formula>
    </cfRule>
    <cfRule type="expression" dxfId="426" priority="597" stopIfTrue="1">
      <formula>AND(TIPOORCAMENTO="Licitado",$C31&lt;&gt;"L",$C31&lt;&gt;-1)</formula>
    </cfRule>
  </conditionalFormatting>
  <conditionalFormatting sqref="P31 S31:T31 Y31 AG31:AH31">
    <cfRule type="expression" dxfId="425" priority="598" stopIfTrue="1">
      <formula>$C31=1</formula>
    </cfRule>
    <cfRule type="expression" dxfId="424" priority="599" stopIfTrue="1">
      <formula>OR($C31=0,$C31=2,$C31=3,$C31=4)</formula>
    </cfRule>
  </conditionalFormatting>
  <conditionalFormatting sqref="AJ31">
    <cfRule type="expression" dxfId="423" priority="600" stopIfTrue="1">
      <formula>OR(ACOMPANHAMENTO&lt;&gt;"BM",TIPOORCAMENTO="Licitado")</formula>
    </cfRule>
    <cfRule type="expression" dxfId="422" priority="601" stopIfTrue="1">
      <formula>$C31=1</formula>
    </cfRule>
    <cfRule type="expression" dxfId="421" priority="602" stopIfTrue="1">
      <formula>OR(AND(ISNUMBER($C31),$C31=0),$C31=2,$C31=3,$C31=4)</formula>
    </cfRule>
  </conditionalFormatting>
  <conditionalFormatting sqref="AL31">
    <cfRule type="expression" dxfId="420" priority="603" stopIfTrue="1">
      <formula>TIPOORCAMENTO="PROPOSTO"</formula>
    </cfRule>
    <cfRule type="expression" dxfId="419" priority="604" stopIfTrue="1">
      <formula>$C31=1</formula>
    </cfRule>
    <cfRule type="expression" dxfId="418" priority="605" stopIfTrue="1">
      <formula>OR(AND(ISNUMBER($C31),$C31=0),$C31=2,$C31=3,$C31=4)</formula>
    </cfRule>
  </conditionalFormatting>
  <conditionalFormatting sqref="AM31:AN31">
    <cfRule type="expression" dxfId="417" priority="606" stopIfTrue="1">
      <formula>TIPOORCAMENTO="PROPOSTO"</formula>
    </cfRule>
    <cfRule type="expression" dxfId="416" priority="607" stopIfTrue="1">
      <formula>$C31=1</formula>
    </cfRule>
    <cfRule type="expression" dxfId="415" priority="608" stopIfTrue="1">
      <formula>OR(AND(ISNUMBER($C31),$C31=0),$C31=2,$C31=3,$C31=4)</formula>
    </cfRule>
  </conditionalFormatting>
  <conditionalFormatting sqref="Q31">
    <cfRule type="expression" dxfId="414" priority="590" stopIfTrue="1">
      <formula>$C31=1</formula>
    </cfRule>
    <cfRule type="expression" dxfId="413" priority="591" stopIfTrue="1">
      <formula>OR($C31=0,$C31=2,$C31=3,$C31=4)</formula>
    </cfRule>
  </conditionalFormatting>
  <conditionalFormatting sqref="M25">
    <cfRule type="cellIs" dxfId="412" priority="434" stopIfTrue="1" operator="notEqual">
      <formula>$N25</formula>
    </cfRule>
  </conditionalFormatting>
  <conditionalFormatting sqref="N25:O25 R25 W25:X25">
    <cfRule type="expression" dxfId="411" priority="435" stopIfTrue="1">
      <formula>$C25=1</formula>
    </cfRule>
    <cfRule type="expression" dxfId="410" priority="436" stopIfTrue="1">
      <formula>OR($C25=0,$C25=2,$C25=3,$C25=4)</formula>
    </cfRule>
  </conditionalFormatting>
  <conditionalFormatting sqref="V25">
    <cfRule type="expression" dxfId="409" priority="437" stopIfTrue="1">
      <formula>$C25=1</formula>
    </cfRule>
    <cfRule type="expression" dxfId="408" priority="438" stopIfTrue="1">
      <formula>OR($C25=0,$C25=2,$C25=3,$C25=4)</formula>
    </cfRule>
    <cfRule type="expression" dxfId="407" priority="439" stopIfTrue="1">
      <formula>AND(TIPOORCAMENTO="Licitado",$C25&lt;&gt;"L",$C25&lt;&gt;-1)</formula>
    </cfRule>
  </conditionalFormatting>
  <conditionalFormatting sqref="P25:Q25 S25:T25 Y25 AG25:AH25">
    <cfRule type="expression" dxfId="406" priority="440" stopIfTrue="1">
      <formula>$C25=1</formula>
    </cfRule>
    <cfRule type="expression" dxfId="405" priority="441" stopIfTrue="1">
      <formula>OR($C25=0,$C25=2,$C25=3,$C25=4)</formula>
    </cfRule>
  </conditionalFormatting>
  <conditionalFormatting sqref="AJ25">
    <cfRule type="expression" dxfId="404" priority="442" stopIfTrue="1">
      <formula>OR(ACOMPANHAMENTO&lt;&gt;"BM",TIPOORCAMENTO="Licitado")</formula>
    </cfRule>
    <cfRule type="expression" dxfId="403" priority="443" stopIfTrue="1">
      <formula>$C25=1</formula>
    </cfRule>
    <cfRule type="expression" dxfId="402" priority="444" stopIfTrue="1">
      <formula>OR(AND(ISNUMBER($C25),$C25=0),$C25=2,$C25=3,$C25=4)</formula>
    </cfRule>
  </conditionalFormatting>
  <conditionalFormatting sqref="AL25">
    <cfRule type="expression" dxfId="401" priority="445" stopIfTrue="1">
      <formula>TIPOORCAMENTO="PROPOSTO"</formula>
    </cfRule>
    <cfRule type="expression" dxfId="400" priority="446" stopIfTrue="1">
      <formula>$C25=1</formula>
    </cfRule>
    <cfRule type="expression" dxfId="399" priority="447" stopIfTrue="1">
      <formula>OR(AND(ISNUMBER($C25),$C25=0),$C25=2,$C25=3,$C25=4)</formula>
    </cfRule>
  </conditionalFormatting>
  <conditionalFormatting sqref="AM25:AN25">
    <cfRule type="expression" dxfId="398" priority="448" stopIfTrue="1">
      <formula>TIPOORCAMENTO="PROPOSTO"</formula>
    </cfRule>
    <cfRule type="expression" dxfId="397" priority="449" stopIfTrue="1">
      <formula>$C25=1</formula>
    </cfRule>
    <cfRule type="expression" dxfId="396" priority="450" stopIfTrue="1">
      <formula>OR(AND(ISNUMBER($C25),$C25=0),$C25=2,$C25=3,$C25=4)</formula>
    </cfRule>
  </conditionalFormatting>
  <conditionalFormatting sqref="M29">
    <cfRule type="cellIs" dxfId="395" priority="417" stopIfTrue="1" operator="notEqual">
      <formula>$N29</formula>
    </cfRule>
  </conditionalFormatting>
  <conditionalFormatting sqref="N29:O29 R29 W29:X29">
    <cfRule type="expression" dxfId="394" priority="418" stopIfTrue="1">
      <formula>$C29=1</formula>
    </cfRule>
    <cfRule type="expression" dxfId="393" priority="419" stopIfTrue="1">
      <formula>OR($C29=0,$C29=2,$C29=3,$C29=4)</formula>
    </cfRule>
  </conditionalFormatting>
  <conditionalFormatting sqref="U29:V29">
    <cfRule type="expression" dxfId="392" priority="420" stopIfTrue="1">
      <formula>$C29=1</formula>
    </cfRule>
    <cfRule type="expression" dxfId="391" priority="421" stopIfTrue="1">
      <formula>OR($C29=0,$C29=2,$C29=3,$C29=4)</formula>
    </cfRule>
    <cfRule type="expression" dxfId="390" priority="422" stopIfTrue="1">
      <formula>AND(TIPOORCAMENTO="Licitado",$C29&lt;&gt;"L",$C29&lt;&gt;-1)</formula>
    </cfRule>
  </conditionalFormatting>
  <conditionalFormatting sqref="P29:Q29 S29:T29 Y29 AG29:AH29">
    <cfRule type="expression" dxfId="389" priority="423" stopIfTrue="1">
      <formula>$C29=1</formula>
    </cfRule>
    <cfRule type="expression" dxfId="388" priority="424" stopIfTrue="1">
      <formula>OR($C29=0,$C29=2,$C29=3,$C29=4)</formula>
    </cfRule>
  </conditionalFormatting>
  <conditionalFormatting sqref="AJ29">
    <cfRule type="expression" dxfId="387" priority="425" stopIfTrue="1">
      <formula>OR(ACOMPANHAMENTO&lt;&gt;"BM",TIPOORCAMENTO="Licitado")</formula>
    </cfRule>
    <cfRule type="expression" dxfId="386" priority="426" stopIfTrue="1">
      <formula>$C29=1</formula>
    </cfRule>
    <cfRule type="expression" dxfId="385" priority="427" stopIfTrue="1">
      <formula>OR(AND(ISNUMBER($C29),$C29=0),$C29=2,$C29=3,$C29=4)</formula>
    </cfRule>
  </conditionalFormatting>
  <conditionalFormatting sqref="AL29">
    <cfRule type="expression" dxfId="384" priority="428" stopIfTrue="1">
      <formula>TIPOORCAMENTO="PROPOSTO"</formula>
    </cfRule>
    <cfRule type="expression" dxfId="383" priority="429" stopIfTrue="1">
      <formula>$C29=1</formula>
    </cfRule>
    <cfRule type="expression" dxfId="382" priority="430" stopIfTrue="1">
      <formula>OR(AND(ISNUMBER($C29),$C29=0),$C29=2,$C29=3,$C29=4)</formula>
    </cfRule>
  </conditionalFormatting>
  <conditionalFormatting sqref="AM29:AN29">
    <cfRule type="expression" dxfId="381" priority="431" stopIfTrue="1">
      <formula>TIPOORCAMENTO="PROPOSTO"</formula>
    </cfRule>
    <cfRule type="expression" dxfId="380" priority="432" stopIfTrue="1">
      <formula>$C29=1</formula>
    </cfRule>
    <cfRule type="expression" dxfId="379" priority="433" stopIfTrue="1">
      <formula>OR(AND(ISNUMBER($C29),$C29=0),$C29=2,$C29=3,$C29=4)</formula>
    </cfRule>
  </conditionalFormatting>
  <conditionalFormatting sqref="M43">
    <cfRule type="cellIs" dxfId="378" priority="383" stopIfTrue="1" operator="notEqual">
      <formula>$N43</formula>
    </cfRule>
  </conditionalFormatting>
  <conditionalFormatting sqref="W43:X43 R43 N43:O43">
    <cfRule type="expression" dxfId="377" priority="384" stopIfTrue="1">
      <formula>$C43=1</formula>
    </cfRule>
    <cfRule type="expression" dxfId="376" priority="385" stopIfTrue="1">
      <formula>OR($C43=0,$C43=2,$C43=3,$C43=4)</formula>
    </cfRule>
  </conditionalFormatting>
  <conditionalFormatting sqref="V43">
    <cfRule type="expression" dxfId="375" priority="386" stopIfTrue="1">
      <formula>$C43=1</formula>
    </cfRule>
    <cfRule type="expression" dxfId="374" priority="387" stopIfTrue="1">
      <formula>OR($C43=0,$C43=2,$C43=3,$C43=4)</formula>
    </cfRule>
    <cfRule type="expression" dxfId="373" priority="388" stopIfTrue="1">
      <formula>AND(TIPOORCAMENTO="Licitado",$C43&lt;&gt;"L",$C43&lt;&gt;-1)</formula>
    </cfRule>
  </conditionalFormatting>
  <conditionalFormatting sqref="AG43:AH43 Y43 S43:T43 P43:Q43">
    <cfRule type="expression" dxfId="372" priority="389" stopIfTrue="1">
      <formula>$C43=1</formula>
    </cfRule>
    <cfRule type="expression" dxfId="371" priority="390" stopIfTrue="1">
      <formula>OR($C43=0,$C43=2,$C43=3,$C43=4)</formula>
    </cfRule>
  </conditionalFormatting>
  <conditionalFormatting sqref="AJ43">
    <cfRule type="expression" dxfId="370" priority="391" stopIfTrue="1">
      <formula>OR(ACOMPANHAMENTO&lt;&gt;"BM",TIPOORCAMENTO="Licitado")</formula>
    </cfRule>
    <cfRule type="expression" dxfId="369" priority="392" stopIfTrue="1">
      <formula>$C43=1</formula>
    </cfRule>
    <cfRule type="expression" dxfId="368" priority="393" stopIfTrue="1">
      <formula>OR(AND(ISNUMBER($C43),$C43=0),$C43=2,$C43=3,$C43=4)</formula>
    </cfRule>
  </conditionalFormatting>
  <conditionalFormatting sqref="AL43">
    <cfRule type="expression" dxfId="367" priority="394" stopIfTrue="1">
      <formula>TIPOORCAMENTO="PROPOSTO"</formula>
    </cfRule>
    <cfRule type="expression" dxfId="366" priority="395" stopIfTrue="1">
      <formula>$C43=1</formula>
    </cfRule>
    <cfRule type="expression" dxfId="365" priority="396" stopIfTrue="1">
      <formula>OR(AND(ISNUMBER($C43),$C43=0),$C43=2,$C43=3,$C43=4)</formula>
    </cfRule>
  </conditionalFormatting>
  <conditionalFormatting sqref="AM43:AN43">
    <cfRule type="expression" dxfId="364" priority="397" stopIfTrue="1">
      <formula>TIPOORCAMENTO="PROPOSTO"</formula>
    </cfRule>
    <cfRule type="expression" dxfId="363" priority="398" stopIfTrue="1">
      <formula>$C43=1</formula>
    </cfRule>
    <cfRule type="expression" dxfId="362" priority="399" stopIfTrue="1">
      <formula>OR(AND(ISNUMBER($C43),$C43=0),$C43=2,$C43=3,$C43=4)</formula>
    </cfRule>
  </conditionalFormatting>
  <conditionalFormatting sqref="M17:M18">
    <cfRule type="cellIs" dxfId="361" priority="281" stopIfTrue="1" operator="notEqual">
      <formula>$N17</formula>
    </cfRule>
  </conditionalFormatting>
  <conditionalFormatting sqref="N17:O18 R17:R18 W17:X18">
    <cfRule type="expression" dxfId="360" priority="282" stopIfTrue="1">
      <formula>$C17=1</formula>
    </cfRule>
    <cfRule type="expression" dxfId="359" priority="283" stopIfTrue="1">
      <formula>OR($C17=0,$C17=2,$C17=3,$C17=4)</formula>
    </cfRule>
  </conditionalFormatting>
  <conditionalFormatting sqref="U17:V18">
    <cfRule type="expression" dxfId="358" priority="284" stopIfTrue="1">
      <formula>$C17=1</formula>
    </cfRule>
    <cfRule type="expression" dxfId="357" priority="285" stopIfTrue="1">
      <formula>OR($C17=0,$C17=2,$C17=3,$C17=4)</formula>
    </cfRule>
    <cfRule type="expression" dxfId="356" priority="286" stopIfTrue="1">
      <formula>AND(TIPOORCAMENTO="Licitado",$C17&lt;&gt;"L",$C17&lt;&gt;-1)</formula>
    </cfRule>
  </conditionalFormatting>
  <conditionalFormatting sqref="P17:Q18 S17:T18 Y17:Y18 AG17:AH18">
    <cfRule type="expression" dxfId="355" priority="287" stopIfTrue="1">
      <formula>$C17=1</formula>
    </cfRule>
    <cfRule type="expression" dxfId="354" priority="288" stopIfTrue="1">
      <formula>OR($C17=0,$C17=2,$C17=3,$C17=4)</formula>
    </cfRule>
  </conditionalFormatting>
  <conditionalFormatting sqref="AJ17:AJ18">
    <cfRule type="expression" dxfId="353" priority="289" stopIfTrue="1">
      <formula>OR(ACOMPANHAMENTO&lt;&gt;"BM",TIPOORCAMENTO="Licitado")</formula>
    </cfRule>
    <cfRule type="expression" dxfId="352" priority="290" stopIfTrue="1">
      <formula>$C17=1</formula>
    </cfRule>
    <cfRule type="expression" dxfId="351" priority="291" stopIfTrue="1">
      <formula>OR(AND(ISNUMBER($C17),$C17=0),$C17=2,$C17=3,$C17=4)</formula>
    </cfRule>
  </conditionalFormatting>
  <conditionalFormatting sqref="AL17:AL18">
    <cfRule type="expression" dxfId="350" priority="292" stopIfTrue="1">
      <formula>TIPOORCAMENTO="PROPOSTO"</formula>
    </cfRule>
    <cfRule type="expression" dxfId="349" priority="293" stopIfTrue="1">
      <formula>$C17=1</formula>
    </cfRule>
    <cfRule type="expression" dxfId="348" priority="294" stopIfTrue="1">
      <formula>OR(AND(ISNUMBER($C17),$C17=0),$C17=2,$C17=3,$C17=4)</formula>
    </cfRule>
  </conditionalFormatting>
  <conditionalFormatting sqref="AM17:AN18">
    <cfRule type="expression" dxfId="347" priority="295" stopIfTrue="1">
      <formula>TIPOORCAMENTO="PROPOSTO"</formula>
    </cfRule>
    <cfRule type="expression" dxfId="346" priority="296" stopIfTrue="1">
      <formula>$C17=1</formula>
    </cfRule>
    <cfRule type="expression" dxfId="345" priority="297" stopIfTrue="1">
      <formula>OR(AND(ISNUMBER($C17),$C17=0),$C17=2,$C17=3,$C17=4)</formula>
    </cfRule>
  </conditionalFormatting>
  <conditionalFormatting sqref="N22:O23 R22:R23 W22:X23">
    <cfRule type="expression" dxfId="344" priority="239" stopIfTrue="1">
      <formula>$C22=1</formula>
    </cfRule>
    <cfRule type="expression" dxfId="343" priority="240" stopIfTrue="1">
      <formula>OR($C22=0,$C22=2,$C22=3,$C22=4)</formula>
    </cfRule>
  </conditionalFormatting>
  <conditionalFormatting sqref="U22:V23">
    <cfRule type="expression" dxfId="342" priority="241" stopIfTrue="1">
      <formula>$C22=1</formula>
    </cfRule>
    <cfRule type="expression" dxfId="341" priority="242" stopIfTrue="1">
      <formula>OR($C22=0,$C22=2,$C22=3,$C22=4)</formula>
    </cfRule>
    <cfRule type="expression" dxfId="340" priority="243" stopIfTrue="1">
      <formula>AND(TIPOORCAMENTO="Licitado",$C22&lt;&gt;"L",$C22&lt;&gt;-1)</formula>
    </cfRule>
  </conditionalFormatting>
  <conditionalFormatting sqref="AM22:AN23">
    <cfRule type="expression" dxfId="339" priority="244" stopIfTrue="1">
      <formula>TIPOORCAMENTO="PROPOSTO"</formula>
    </cfRule>
    <cfRule type="expression" dxfId="338" priority="245" stopIfTrue="1">
      <formula>$C22=1</formula>
    </cfRule>
    <cfRule type="expression" dxfId="337" priority="246" stopIfTrue="1">
      <formula>OR(AND(ISNUMBER($C22),$C22=0),$C22=2,$C22=3,$C22=4)</formula>
    </cfRule>
  </conditionalFormatting>
  <conditionalFormatting sqref="M45">
    <cfRule type="cellIs" dxfId="336" priority="137" stopIfTrue="1" operator="notEqual">
      <formula>$N45</formula>
    </cfRule>
  </conditionalFormatting>
  <conditionalFormatting sqref="N45:O45 R45 W45:X45">
    <cfRule type="expression" dxfId="335" priority="138" stopIfTrue="1">
      <formula>$C45=1</formula>
    </cfRule>
    <cfRule type="expression" dxfId="334" priority="139" stopIfTrue="1">
      <formula>OR($C45=0,$C45=2,$C45=3,$C45=4)</formula>
    </cfRule>
  </conditionalFormatting>
  <conditionalFormatting sqref="V45">
    <cfRule type="expression" dxfId="333" priority="140" stopIfTrue="1">
      <formula>$C45=1</formula>
    </cfRule>
    <cfRule type="expression" dxfId="332" priority="141" stopIfTrue="1">
      <formula>OR($C45=0,$C45=2,$C45=3,$C45=4)</formula>
    </cfRule>
    <cfRule type="expression" dxfId="331" priority="142" stopIfTrue="1">
      <formula>AND(TIPOORCAMENTO="Licitado",$C45&lt;&gt;"L",$C45&lt;&gt;-1)</formula>
    </cfRule>
  </conditionalFormatting>
  <conditionalFormatting sqref="P45:Q45 S45:T45 Y45 AG45:AH45">
    <cfRule type="expression" dxfId="330" priority="143" stopIfTrue="1">
      <formula>$C45=1</formula>
    </cfRule>
    <cfRule type="expression" dxfId="329" priority="144" stopIfTrue="1">
      <formula>OR($C45=0,$C45=2,$C45=3,$C45=4)</formula>
    </cfRule>
  </conditionalFormatting>
  <conditionalFormatting sqref="AJ45">
    <cfRule type="expression" dxfId="328" priority="145" stopIfTrue="1">
      <formula>OR(ACOMPANHAMENTO&lt;&gt;"BM",TIPOORCAMENTO="Licitado")</formula>
    </cfRule>
    <cfRule type="expression" dxfId="327" priority="146" stopIfTrue="1">
      <formula>$C45=1</formula>
    </cfRule>
    <cfRule type="expression" dxfId="326" priority="147" stopIfTrue="1">
      <formula>OR(AND(ISNUMBER($C45),$C45=0),$C45=2,$C45=3,$C45=4)</formula>
    </cfRule>
  </conditionalFormatting>
  <conditionalFormatting sqref="AL45">
    <cfRule type="expression" dxfId="325" priority="148" stopIfTrue="1">
      <formula>TIPOORCAMENTO="PROPOSTO"</formula>
    </cfRule>
    <cfRule type="expression" dxfId="324" priority="149" stopIfTrue="1">
      <formula>$C45=1</formula>
    </cfRule>
    <cfRule type="expression" dxfId="323" priority="150" stopIfTrue="1">
      <formula>OR(AND(ISNUMBER($C45),$C45=0),$C45=2,$C45=3,$C45=4)</formula>
    </cfRule>
  </conditionalFormatting>
  <conditionalFormatting sqref="AM45:AN45">
    <cfRule type="expression" dxfId="322" priority="151" stopIfTrue="1">
      <formula>TIPOORCAMENTO="PROPOSTO"</formula>
    </cfRule>
    <cfRule type="expression" dxfId="321" priority="152" stopIfTrue="1">
      <formula>$C45=1</formula>
    </cfRule>
    <cfRule type="expression" dxfId="320" priority="153" stopIfTrue="1">
      <formula>OR(AND(ISNUMBER($C45),$C45=0),$C45=2,$C45=3,$C45=4)</formula>
    </cfRule>
  </conditionalFormatting>
  <conditionalFormatting sqref="M44">
    <cfRule type="cellIs" dxfId="319" priority="103" stopIfTrue="1" operator="notEqual">
      <formula>$N44</formula>
    </cfRule>
  </conditionalFormatting>
  <conditionalFormatting sqref="N44:O44 R44 W44:X44">
    <cfRule type="expression" dxfId="318" priority="104" stopIfTrue="1">
      <formula>$C44=1</formula>
    </cfRule>
    <cfRule type="expression" dxfId="317" priority="105" stopIfTrue="1">
      <formula>OR($C44=0,$C44=2,$C44=3,$C44=4)</formula>
    </cfRule>
  </conditionalFormatting>
  <conditionalFormatting sqref="U44:V44">
    <cfRule type="expression" dxfId="316" priority="106" stopIfTrue="1">
      <formula>$C44=1</formula>
    </cfRule>
    <cfRule type="expression" dxfId="315" priority="107" stopIfTrue="1">
      <formula>OR($C44=0,$C44=2,$C44=3,$C44=4)</formula>
    </cfRule>
    <cfRule type="expression" dxfId="314" priority="108" stopIfTrue="1">
      <formula>AND(TIPOORCAMENTO="Licitado",$C44&lt;&gt;"L",$C44&lt;&gt;-1)</formula>
    </cfRule>
  </conditionalFormatting>
  <conditionalFormatting sqref="P44:Q44 S44:T44 Y44 AG44:AH44">
    <cfRule type="expression" dxfId="313" priority="109" stopIfTrue="1">
      <formula>$C44=1</formula>
    </cfRule>
    <cfRule type="expression" dxfId="312" priority="110" stopIfTrue="1">
      <formula>OR($C44=0,$C44=2,$C44=3,$C44=4)</formula>
    </cfRule>
  </conditionalFormatting>
  <conditionalFormatting sqref="AJ44">
    <cfRule type="expression" dxfId="311" priority="111" stopIfTrue="1">
      <formula>OR(ACOMPANHAMENTO&lt;&gt;"BM",TIPOORCAMENTO="Licitado")</formula>
    </cfRule>
    <cfRule type="expression" dxfId="310" priority="112" stopIfTrue="1">
      <formula>$C44=1</formula>
    </cfRule>
    <cfRule type="expression" dxfId="309" priority="113" stopIfTrue="1">
      <formula>OR(AND(ISNUMBER($C44),$C44=0),$C44=2,$C44=3,$C44=4)</formula>
    </cfRule>
  </conditionalFormatting>
  <conditionalFormatting sqref="AL44">
    <cfRule type="expression" dxfId="308" priority="114" stopIfTrue="1">
      <formula>TIPOORCAMENTO="PROPOSTO"</formula>
    </cfRule>
    <cfRule type="expression" dxfId="307" priority="115" stopIfTrue="1">
      <formula>$C44=1</formula>
    </cfRule>
    <cfRule type="expression" dxfId="306" priority="116" stopIfTrue="1">
      <formula>OR(AND(ISNUMBER($C44),$C44=0),$C44=2,$C44=3,$C44=4)</formula>
    </cfRule>
  </conditionalFormatting>
  <conditionalFormatting sqref="AM44:AN44">
    <cfRule type="expression" dxfId="305" priority="117" stopIfTrue="1">
      <formula>TIPOORCAMENTO="PROPOSTO"</formula>
    </cfRule>
    <cfRule type="expression" dxfId="304" priority="118" stopIfTrue="1">
      <formula>$C44=1</formula>
    </cfRule>
    <cfRule type="expression" dxfId="303" priority="119" stopIfTrue="1">
      <formula>OR(AND(ISNUMBER($C44),$C44=0),$C44=2,$C44=3,$C44=4)</formula>
    </cfRule>
  </conditionalFormatting>
  <conditionalFormatting sqref="M34:M36">
    <cfRule type="cellIs" dxfId="302" priority="35" stopIfTrue="1" operator="notEqual">
      <formula>$N34</formula>
    </cfRule>
  </conditionalFormatting>
  <conditionalFormatting sqref="N34:O36 R34:R36 W34:X36">
    <cfRule type="expression" dxfId="301" priority="36" stopIfTrue="1">
      <formula>$C34=1</formula>
    </cfRule>
    <cfRule type="expression" dxfId="300" priority="37" stopIfTrue="1">
      <formula>OR($C34=0,$C34=2,$C34=3,$C34=4)</formula>
    </cfRule>
  </conditionalFormatting>
  <conditionalFormatting sqref="V34:V36">
    <cfRule type="expression" dxfId="299" priority="38" stopIfTrue="1">
      <formula>$C34=1</formula>
    </cfRule>
    <cfRule type="expression" dxfId="298" priority="39" stopIfTrue="1">
      <formula>OR($C34=0,$C34=2,$C34=3,$C34=4)</formula>
    </cfRule>
    <cfRule type="expression" dxfId="297" priority="40" stopIfTrue="1">
      <formula>AND(TIPOORCAMENTO="Licitado",$C34&lt;&gt;"L",$C34&lt;&gt;-1)</formula>
    </cfRule>
  </conditionalFormatting>
  <conditionalFormatting sqref="P34:Q36 S34:T36 Y34:Y36 AG34:AH36">
    <cfRule type="expression" dxfId="296" priority="41" stopIfTrue="1">
      <formula>$C34=1</formula>
    </cfRule>
    <cfRule type="expression" dxfId="295" priority="42" stopIfTrue="1">
      <formula>OR($C34=0,$C34=2,$C34=3,$C34=4)</formula>
    </cfRule>
  </conditionalFormatting>
  <conditionalFormatting sqref="AJ34:AJ36">
    <cfRule type="expression" dxfId="294" priority="43" stopIfTrue="1">
      <formula>OR(ACOMPANHAMENTO&lt;&gt;"BM",TIPOORCAMENTO="Licitado")</formula>
    </cfRule>
    <cfRule type="expression" dxfId="293" priority="44" stopIfTrue="1">
      <formula>$C34=1</formula>
    </cfRule>
    <cfRule type="expression" dxfId="292" priority="45" stopIfTrue="1">
      <formula>OR(AND(ISNUMBER($C34),$C34=0),$C34=2,$C34=3,$C34=4)</formula>
    </cfRule>
  </conditionalFormatting>
  <conditionalFormatting sqref="AL34:AL36">
    <cfRule type="expression" dxfId="291" priority="46" stopIfTrue="1">
      <formula>TIPOORCAMENTO="PROPOSTO"</formula>
    </cfRule>
    <cfRule type="expression" dxfId="290" priority="47" stopIfTrue="1">
      <formula>$C34=1</formula>
    </cfRule>
    <cfRule type="expression" dxfId="289" priority="48" stopIfTrue="1">
      <formula>OR(AND(ISNUMBER($C34),$C34=0),$C34=2,$C34=3,$C34=4)</formula>
    </cfRule>
  </conditionalFormatting>
  <conditionalFormatting sqref="AM34:AN36">
    <cfRule type="expression" dxfId="288" priority="49" stopIfTrue="1">
      <formula>TIPOORCAMENTO="PROPOSTO"</formula>
    </cfRule>
    <cfRule type="expression" dxfId="287" priority="50" stopIfTrue="1">
      <formula>$C34=1</formula>
    </cfRule>
    <cfRule type="expression" dxfId="286" priority="51" stopIfTrue="1">
      <formula>OR(AND(ISNUMBER($C34),$C34=0),$C34=2,$C34=3,$C34=4)</formula>
    </cfRule>
  </conditionalFormatting>
  <conditionalFormatting sqref="M37:M42">
    <cfRule type="cellIs" dxfId="285" priority="18" stopIfTrue="1" operator="notEqual">
      <formula>$N37</formula>
    </cfRule>
  </conditionalFormatting>
  <conditionalFormatting sqref="N37:O42 R37:R42 W37:X42">
    <cfRule type="expression" dxfId="284" priority="19" stopIfTrue="1">
      <formula>$C37=1</formula>
    </cfRule>
    <cfRule type="expression" dxfId="283" priority="20" stopIfTrue="1">
      <formula>OR($C37=0,$C37=2,$C37=3,$C37=4)</formula>
    </cfRule>
  </conditionalFormatting>
  <conditionalFormatting sqref="V37:V42">
    <cfRule type="expression" dxfId="282" priority="21" stopIfTrue="1">
      <formula>$C37=1</formula>
    </cfRule>
    <cfRule type="expression" dxfId="281" priority="22" stopIfTrue="1">
      <formula>OR($C37=0,$C37=2,$C37=3,$C37=4)</formula>
    </cfRule>
    <cfRule type="expression" dxfId="280" priority="23" stopIfTrue="1">
      <formula>AND(TIPOORCAMENTO="Licitado",$C37&lt;&gt;"L",$C37&lt;&gt;-1)</formula>
    </cfRule>
  </conditionalFormatting>
  <conditionalFormatting sqref="P37:Q42 S37:T42 Y37:Y42 AG37:AH42">
    <cfRule type="expression" dxfId="279" priority="24" stopIfTrue="1">
      <formula>$C37=1</formula>
    </cfRule>
    <cfRule type="expression" dxfId="278" priority="25" stopIfTrue="1">
      <formula>OR($C37=0,$C37=2,$C37=3,$C37=4)</formula>
    </cfRule>
  </conditionalFormatting>
  <conditionalFormatting sqref="AJ37:AJ42">
    <cfRule type="expression" dxfId="277" priority="26" stopIfTrue="1">
      <formula>OR(ACOMPANHAMENTO&lt;&gt;"BM",TIPOORCAMENTO="Licitado")</formula>
    </cfRule>
    <cfRule type="expression" dxfId="276" priority="27" stopIfTrue="1">
      <formula>$C37=1</formula>
    </cfRule>
    <cfRule type="expression" dxfId="275" priority="28" stopIfTrue="1">
      <formula>OR(AND(ISNUMBER($C37),$C37=0),$C37=2,$C37=3,$C37=4)</formula>
    </cfRule>
  </conditionalFormatting>
  <conditionalFormatting sqref="AL37:AL42">
    <cfRule type="expression" dxfId="274" priority="29" stopIfTrue="1">
      <formula>TIPOORCAMENTO="PROPOSTO"</formula>
    </cfRule>
    <cfRule type="expression" dxfId="273" priority="30" stopIfTrue="1">
      <formula>$C37=1</formula>
    </cfRule>
    <cfRule type="expression" dxfId="272" priority="31" stopIfTrue="1">
      <formula>OR(AND(ISNUMBER($C37),$C37=0),$C37=2,$C37=3,$C37=4)</formula>
    </cfRule>
  </conditionalFormatting>
  <conditionalFormatting sqref="AM37:AN42">
    <cfRule type="expression" dxfId="271" priority="32" stopIfTrue="1">
      <formula>TIPOORCAMENTO="PROPOSTO"</formula>
    </cfRule>
    <cfRule type="expression" dxfId="270" priority="33" stopIfTrue="1">
      <formula>$C37=1</formula>
    </cfRule>
    <cfRule type="expression" dxfId="269" priority="34" stopIfTrue="1">
      <formula>OR(AND(ISNUMBER($C37),$C37=0),$C37=2,$C37=3,$C37=4)</formula>
    </cfRule>
  </conditionalFormatting>
  <conditionalFormatting sqref="M50:M51">
    <cfRule type="cellIs" dxfId="268" priority="1" stopIfTrue="1" operator="notEqual">
      <formula>$N50</formula>
    </cfRule>
  </conditionalFormatting>
  <conditionalFormatting sqref="N50:O51 W50:X51 R50:R51">
    <cfRule type="expression" dxfId="267" priority="2" stopIfTrue="1">
      <formula>$C50=1</formula>
    </cfRule>
    <cfRule type="expression" dxfId="266" priority="3" stopIfTrue="1">
      <formula>OR($C50=0,$C50=2,$C50=3,$C50=4)</formula>
    </cfRule>
  </conditionalFormatting>
  <conditionalFormatting sqref="V50:V51">
    <cfRule type="expression" dxfId="265" priority="4" stopIfTrue="1">
      <formula>$C50=1</formula>
    </cfRule>
    <cfRule type="expression" dxfId="264" priority="5" stopIfTrue="1">
      <formula>OR($C50=0,$C50=2,$C50=3,$C50=4)</formula>
    </cfRule>
    <cfRule type="expression" dxfId="263" priority="6" stopIfTrue="1">
      <formula>AND(TIPOORCAMENTO="Licitado",$C50&lt;&gt;"L",$C50&lt;&gt;-1)</formula>
    </cfRule>
  </conditionalFormatting>
  <conditionalFormatting sqref="P50:Q51 S50:T51 Y50:Y51 AG50:AH51">
    <cfRule type="expression" dxfId="262" priority="7" stopIfTrue="1">
      <formula>$C50=1</formula>
    </cfRule>
    <cfRule type="expression" dxfId="261" priority="8" stopIfTrue="1">
      <formula>OR($C50=0,$C50=2,$C50=3,$C50=4)</formula>
    </cfRule>
  </conditionalFormatting>
  <conditionalFormatting sqref="AJ50:AJ51">
    <cfRule type="expression" dxfId="260" priority="9" stopIfTrue="1">
      <formula>OR(ACOMPANHAMENTO&lt;&gt;"BM",TIPOORCAMENTO="Licitado")</formula>
    </cfRule>
    <cfRule type="expression" dxfId="259" priority="10" stopIfTrue="1">
      <formula>$C50=1</formula>
    </cfRule>
    <cfRule type="expression" dxfId="258" priority="11" stopIfTrue="1">
      <formula>OR(AND(ISNUMBER($C50),$C50=0),$C50=2,$C50=3,$C50=4)</formula>
    </cfRule>
  </conditionalFormatting>
  <conditionalFormatting sqref="AL50:AL51">
    <cfRule type="expression" dxfId="257" priority="12" stopIfTrue="1">
      <formula>TIPOORCAMENTO="PROPOSTO"</formula>
    </cfRule>
    <cfRule type="expression" dxfId="256" priority="13" stopIfTrue="1">
      <formula>$C50=1</formula>
    </cfRule>
    <cfRule type="expression" dxfId="255" priority="14" stopIfTrue="1">
      <formula>OR(AND(ISNUMBER($C50),$C50=0),$C50=2,$C50=3,$C50=4)</formula>
    </cfRule>
  </conditionalFormatting>
  <conditionalFormatting sqref="AM50:AN51">
    <cfRule type="expression" dxfId="254" priority="15" stopIfTrue="1">
      <formula>TIPOORCAMENTO="PROPOSTO"</formula>
    </cfRule>
    <cfRule type="expression" dxfId="253" priority="16" stopIfTrue="1">
      <formula>$C50=1</formula>
    </cfRule>
    <cfRule type="expression" dxfId="252" priority="17" stopIfTrue="1">
      <formula>OR(AND(ISNUMBER($C50),$C50=0),$C50=2,$C50=3,$C50=4)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J16:AJ51 AL16:AL51 U16:U51">
      <formula1>0</formula1>
      <formula2>0</formula2>
    </dataValidation>
    <dataValidation type="list" allowBlank="1" sqref="P14 P16:P5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5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5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5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51"/>
    <dataValidation allowBlank="1" showInputMessage="1" showErrorMessage="1" prompt="Para Orçamento Proposto, o Preço Unitário é resultado do produto do Custo Unitário pelo BDI._x000a_Para Orçamento Licitado, deve ser preenchido na Coluna AL." sqref="W14 W16:W51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56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22"/>
  <sheetViews>
    <sheetView showGridLines="0" view="pageBreakPreview" zoomScale="80" zoomScaleNormal="90" zoomScaleSheetLayoutView="8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A48" sqref="A48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36" t="str">
        <f>IF(ACOMPANHAMENTO="BM","MEMÓRIA DE CÁLCULO","PLQ - PLANILHA DE LEVANTAMENTO DE QUANTIDADES")</f>
        <v>PLQ - PLANILHA DE LEVANTAMENTO DE QUANTIDADES</v>
      </c>
      <c r="G1" s="636"/>
      <c r="H1" s="636"/>
      <c r="I1" s="147"/>
      <c r="K1" s="147"/>
      <c r="L1" s="147"/>
      <c r="M1" s="148"/>
      <c r="N1" s="147"/>
      <c r="P1" s="147"/>
      <c r="Q1" s="593" t="s">
        <v>141</v>
      </c>
      <c r="R1" s="593"/>
      <c r="Y1" s="593" t="s">
        <v>141</v>
      </c>
      <c r="Z1" s="593"/>
    </row>
    <row r="2" spans="1:59" ht="15" customHeight="1" x14ac:dyDescent="0.2">
      <c r="F2" s="637" t="str">
        <f>IF(ACOMPANHAMENTO="BM","","Memória de Cálculo")&amp;" - "&amp;import.recurso</f>
        <v>Memória de Cálculo - OGU</v>
      </c>
      <c r="G2" s="637"/>
      <c r="H2" s="637"/>
      <c r="I2" s="149"/>
      <c r="K2" s="149"/>
      <c r="L2" s="149"/>
      <c r="M2" s="150"/>
      <c r="N2" s="149"/>
      <c r="P2" s="149"/>
      <c r="Q2" s="594" t="s">
        <v>144</v>
      </c>
      <c r="R2" s="594"/>
      <c r="Y2" s="594" t="s">
        <v>144</v>
      </c>
      <c r="Z2" s="594"/>
    </row>
    <row r="3" spans="1:59" ht="12.75" customHeight="1" x14ac:dyDescent="0.2"/>
    <row r="4" spans="1:59" ht="12.75" customHeight="1" x14ac:dyDescent="0.2">
      <c r="E4" s="595" t="s">
        <v>204</v>
      </c>
      <c r="F4" s="595"/>
      <c r="G4" s="595" t="s">
        <v>148</v>
      </c>
      <c r="H4" s="595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595" t="s">
        <v>147</v>
      </c>
      <c r="T4" s="595"/>
      <c r="U4" s="595" t="s">
        <v>149</v>
      </c>
      <c r="V4" s="595"/>
      <c r="W4" s="595"/>
      <c r="X4" s="595"/>
      <c r="Y4" s="595"/>
      <c r="Z4" s="595"/>
    </row>
    <row r="5" spans="1:59" ht="12.75" customHeight="1" x14ac:dyDescent="0.2">
      <c r="E5" s="592" t="str">
        <f>Import.Apelido</f>
        <v>Calçamento da Rua General Neto</v>
      </c>
      <c r="F5" s="592"/>
      <c r="G5" s="592">
        <f>Import.SICONV</f>
        <v>0</v>
      </c>
      <c r="H5" s="592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592">
        <f>Import.CR</f>
        <v>0</v>
      </c>
      <c r="T5" s="592"/>
      <c r="U5" s="592" t="str">
        <f>Import.Proponente</f>
        <v>Prefeitura Municipal de Caçapava do Sul</v>
      </c>
      <c r="V5" s="592"/>
      <c r="W5" s="592"/>
      <c r="X5" s="592"/>
      <c r="Y5" s="592"/>
      <c r="Z5" s="592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IF(ACOMPANHAMENTO="BM",0,COUNTIF(M15:M52,0))</f>
        <v>1</v>
      </c>
      <c r="N12" s="158" t="s">
        <v>259</v>
      </c>
      <c r="O12" s="162"/>
      <c r="P12" s="159" t="s">
        <v>257</v>
      </c>
      <c r="Q12" s="543" t="s">
        <v>444</v>
      </c>
      <c r="R12" s="162" t="s">
        <v>510</v>
      </c>
      <c r="S12" s="162" t="s">
        <v>511</v>
      </c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01 (Primeiros 79,75m)</v>
      </c>
      <c r="AD12" s="164" t="str">
        <f t="shared" ca="1" si="0"/>
        <v>TRECHO 02 (últimos 79,75m)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01 (Primeiros 79,75m)</v>
      </c>
      <c r="AO12" s="164" t="str">
        <f t="shared" ca="1" si="1"/>
        <v>TRECHO 02 (últimos 79,75m)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01 (Primeiros 79,75m)</v>
      </c>
      <c r="AZ12" s="164" t="str">
        <f t="shared" ca="1" si="2"/>
        <v>TRECHO 02 (últimos 79,75m)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38" t="str">
        <f>Import.DescLote</f>
        <v>Lote Único - Empreitada Preço Global</v>
      </c>
      <c r="F15" s="638"/>
      <c r="G15" s="638"/>
      <c r="H15" s="638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ROUND(SUM(OFFSET(AB$15,1,0):AB$52),2)</f>
        <v>0</v>
      </c>
      <c r="AC15" s="188">
        <f ca="1">SUM(OFFSET(AC$15,1,0):AC$52)</f>
        <v>0</v>
      </c>
      <c r="AD15" s="188">
        <f ca="1">SUM(OFFSET(AD$15,1,0):AD$52)</f>
        <v>0</v>
      </c>
      <c r="AE15" s="188">
        <f ca="1">SUM(OFFSET(AE$15,1,0):AE$52)</f>
        <v>0</v>
      </c>
      <c r="AF15" s="188">
        <f ca="1">SUM(OFFSET(AF$15,1,0):AF$52)</f>
        <v>0</v>
      </c>
      <c r="AG15" s="188">
        <f ca="1">SUM(OFFSET(AG$15,1,0):AG$52)</f>
        <v>0</v>
      </c>
      <c r="AH15" s="188">
        <f ca="1">SUM(OFFSET(AH$15,1,0):AH$52)</f>
        <v>0</v>
      </c>
      <c r="AI15" s="188">
        <f ca="1">SUM(OFFSET(AI$15,1,0):AI$52)</f>
        <v>0</v>
      </c>
      <c r="AJ15" s="188">
        <f ca="1">SUM(OFFSET(AJ$15,1,0):AJ$52)</f>
        <v>0</v>
      </c>
      <c r="AK15" s="188">
        <f ca="1">SUM(OFFSET(AK$15,1,0):AK$52)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43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DA RUA GAL. NETO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481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481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508</v>
      </c>
      <c r="K18" s="173" t="s">
        <v>481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0.5</v>
      </c>
      <c r="S18" s="178">
        <v>0.5</v>
      </c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483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04-2024.xls)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470.5</v>
      </c>
      <c r="I21" s="561" t="s">
        <v>464</v>
      </c>
      <c r="K21" s="173" t="s">
        <v>455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>
        <f>((79.75*3)-4)</f>
        <v>235.25</v>
      </c>
      <c r="S21" s="178">
        <f>((79.75*3)-4)</f>
        <v>235.25</v>
      </c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487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51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3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04-2024.xls)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1595</v>
      </c>
      <c r="I23" s="561" t="s">
        <v>490</v>
      </c>
      <c r="K23" s="173" t="s">
        <v>487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 xml:space="preserve">Terraplanagem </v>
      </c>
      <c r="O23" s="177"/>
      <c r="Q23" s="177"/>
      <c r="R23" s="178">
        <f>79.75*10</f>
        <v>797.5</v>
      </c>
      <c r="S23" s="178">
        <f>79.75*10</f>
        <v>797.5</v>
      </c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1000000000000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2</v>
      </c>
      <c r="AP23" s="180">
        <f ca="1">IF($D23&lt;&gt;"Serviço",0,IF(AND(AUTOEVENTO="Manual",$M23=1),0,IF(OFFSET(CRONOPLE!$F$14,$M23,AP$13)="",10^12,OFFSET(CRONOPLE!$F$14,$M23,AP$13))))</f>
        <v>5</v>
      </c>
      <c r="AQ23" s="180">
        <f ca="1">IF($D23&lt;&gt;"Serviço",0,IF(AND(AUTOEVENTO="Manual",$M23=1),0,IF(OFFSET(CRONOPLE!$F$14,$M23,AQ$13)="",10^12,OFFSET(CRONOPLE!$F$14,$M23,AQ$13))))</f>
        <v>6</v>
      </c>
      <c r="AR23" s="180">
        <f ca="1">IF($D23&lt;&gt;"Serviço",0,IF(AND(AUTOEVENTO="Manual",$M23=1),0,IF(OFFSET(CRONOPLE!$F$14,$M23,AR$13)="",10^12,OFFSET(CRONOPLE!$F$14,$M23,AR$13))))</f>
        <v>4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 xml:space="preserve">PAVIMENTAÇÃO 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488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ht="114.7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238</v>
      </c>
      <c r="I26" s="561" t="s">
        <v>491</v>
      </c>
      <c r="K26" s="173" t="s">
        <v>488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v>80</v>
      </c>
      <c r="S26" s="178">
        <f>80+78</f>
        <v>158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3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299.88</v>
      </c>
      <c r="I27" s="561" t="s">
        <v>465</v>
      </c>
      <c r="K27" s="173" t="s">
        <v>488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(R26*0.042)*30</f>
        <v>100.80000000000001</v>
      </c>
      <c r="S27" s="178">
        <f>(S26*0.042)*30</f>
        <v>199.08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3</v>
      </c>
      <c r="AO27" s="180">
        <f ca="1">IF($D27&lt;&gt;"Serviço",0,IF(AND(AUTOEVENTO="Manual",$M27=1),0,IF(OFFSET(CRONOPLE!$F$14,$M27,AO$13)="",10^12,OFFSET(CRONOPLE!$F$14,$M27,AO$13))))</f>
        <v>4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76.5" x14ac:dyDescent="0.2">
      <c r="A28" s="7">
        <f t="shared" ca="1" si="8"/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149.94</v>
      </c>
      <c r="I28" s="561" t="s">
        <v>468</v>
      </c>
      <c r="K28" s="173" t="s">
        <v>488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(R26*0.042)*15</f>
        <v>50.400000000000006</v>
      </c>
      <c r="S28" s="178">
        <f>(S26*0.042)*15</f>
        <v>99.54</v>
      </c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3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3</v>
      </c>
      <c r="B29" s="7">
        <f ca="1">OFFSET(ORÇAMENTO!C$15,ROW(B29)-ROW(B$15),0)</f>
        <v>3</v>
      </c>
      <c r="C29" s="7" t="str">
        <f ca="1">OFFSET(ORÇAMENTO!L$15,ROW(C29)-ROW(C$15),0)</f>
        <v>F</v>
      </c>
      <c r="D29" s="118" t="str">
        <f ca="1">OFFSET(ORÇAMENTO!N$15,ROW(D29)-ROW(D$15),0)</f>
        <v>Nível 3</v>
      </c>
      <c r="E29" s="119" t="str">
        <f ca="1">OFFSET(ORÇAMENTO!O$15,ROW(E29)-ROW(E$15),0)</f>
        <v>1.4.2.</v>
      </c>
      <c r="F29" s="171" t="str">
        <f ca="1">OFFSET(ORÇAMENTO!R$15,ROW(F29)-ROW(F$15),0)</f>
        <v>Pavimentação da pista de rolamento com bloco de concreto 16 faces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456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38.25" x14ac:dyDescent="0.2">
      <c r="A30" s="7">
        <f ca="1">IF(AUTOEVENTO="Manual",IF(K30&lt;&gt;"",MIN(VALUE(LEFT(K30,FIND(".",K30)-1)),COUNTA(EVENTOS.Lista)),0),IF(OR($B30&gt;AUTOEVENTO,$B30="S",$B30=0),SUBSTITUTE(OFFSET($A30,-1,0),IF($D30="Serviço",".",""),""),ROW(A30)-ROW($A$15)&amp;"."))</f>
        <v>4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1595</v>
      </c>
      <c r="I30" s="561" t="s">
        <v>471</v>
      </c>
      <c r="K30" s="173" t="s">
        <v>488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Pavimantação - Pista</v>
      </c>
      <c r="O30" s="177"/>
      <c r="Q30" s="177"/>
      <c r="R30" s="178">
        <f>R23</f>
        <v>797.5</v>
      </c>
      <c r="S30" s="178">
        <f>S23</f>
        <v>797.5</v>
      </c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3</v>
      </c>
      <c r="AO30" s="180">
        <f ca="1">IF($D30&lt;&gt;"Serviço",0,IF(AND(AUTOEVENTO="Manual",$M30=1),0,IF(OFFSET(CRONOPLE!$F$14,$M30,AO$13)="",10^12,OFFSET(CRONOPLE!$F$14,$M30,AO$13))))</f>
        <v>4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4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76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4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1079.82</v>
      </c>
      <c r="I31" s="561" t="s">
        <v>466</v>
      </c>
      <c r="K31" s="173" t="s">
        <v>488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Pavimantação - Pista</v>
      </c>
      <c r="O31" s="177"/>
      <c r="Q31" s="177"/>
      <c r="R31" s="178">
        <f>(R30*0.0677)*10</f>
        <v>539.90750000000003</v>
      </c>
      <c r="S31" s="178">
        <f>(S30*0.0677)*10</f>
        <v>539.90750000000003</v>
      </c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3</v>
      </c>
      <c r="AO31" s="180">
        <f ca="1">IF($D31&lt;&gt;"Serviço",0,IF(AND(AUTOEVENTO="Manual",$M31=1),0,IF(OFFSET(CRONOPLE!$F$14,$M31,AO$13)="",10^12,OFFSET(CRONOPLE!$F$14,$M31,AO$13))))</f>
        <v>4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4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102" x14ac:dyDescent="0.2">
      <c r="A32" s="7">
        <f t="shared" ca="1" si="8"/>
        <v>4</v>
      </c>
      <c r="B32" s="7" t="str">
        <f ca="1">OFFSET(ORÇAMENTO!C$15,ROW(B32)-ROW(B$15),0)</f>
        <v>S</v>
      </c>
      <c r="C32" s="7" t="str">
        <f ca="1">OFFSET(ORÇAMENTO!L$15,ROW(C32)-ROW(C$15),0)</f>
        <v/>
      </c>
      <c r="D32" s="118" t="str">
        <f ca="1">OFFSET(ORÇAMENTO!N$15,ROW(D32)-ROW(D$15),0)</f>
        <v>Serviço</v>
      </c>
      <c r="E32" s="119" t="str">
        <f ca="1">OFFSET(ORÇAMENTO!O$15,ROW(E32)-ROW(E$15),0)</f>
        <v>-</v>
      </c>
      <c r="F32" s="171" t="str">
        <f ca="1">OFFSET(ORÇAMENTO!R$15,ROW(F32)-ROW(F$15),0)</f>
        <v>(abra o arquivo 'Referência 04-2024.xls)</v>
      </c>
      <c r="G32" s="172" t="str">
        <f ca="1">IF($D32&lt;&gt;"Serviço","",OFFSET(ORÇAMENTO!S$15,ROW(G32)-ROW(G$15),0))</f>
        <v>-</v>
      </c>
      <c r="H32" s="124">
        <f ca="1">IF($D32&lt;&gt;"Serviço",0,IF(ACOMPANHAMENTO="BM",ROUND(OFFSET(ORÇAMENTO!AJ$15,ROW(H32)-ROW(H$15),0),15-13*ORÇAMENTO!$AF$7),SUMPRODUCT(($Q$12:$AA$12&lt;&gt;"")*ROUND($Q32:$AA32,15-13*ORÇAMENTO!$AF$7))))</f>
        <v>115.8</v>
      </c>
      <c r="I32" s="561" t="s">
        <v>470</v>
      </c>
      <c r="K32" s="173" t="s">
        <v>488</v>
      </c>
      <c r="L32" s="174" t="s">
        <v>257</v>
      </c>
      <c r="M32" s="175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176" t="str">
        <f ca="1">IF($D32&lt;&gt;"Serviço","",IF(AUTOEVENTO="Manual",IF($A32=0,"&lt;-- defina o número do agrupador",OFFSET(EVENTOS!$D$14,$A32,0)),OFFSET($F$15,$A32,0)))</f>
        <v>Pavimantação - Pista</v>
      </c>
      <c r="O32" s="177"/>
      <c r="Q32" s="177"/>
      <c r="R32" s="178">
        <f>((R30*(0.22*0.11*0.1))*30)</f>
        <v>57.898500000000006</v>
      </c>
      <c r="S32" s="178">
        <f>((S30*(0.22*0.11*0.1))*30)</f>
        <v>57.898500000000006</v>
      </c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1000000000000</v>
      </c>
      <c r="AN32" s="180">
        <f ca="1">IF($D32&lt;&gt;"Serviço",0,IF(AND(AUTOEVENTO="Manual",$M32=1),0,IF(OFFSET(CRONOPLE!$F$14,$M32,AN$13)="",10^12,OFFSET(CRONOPLE!$F$14,$M32,AN$13))))</f>
        <v>3</v>
      </c>
      <c r="AO32" s="180">
        <f ca="1">IF($D32&lt;&gt;"Serviço",0,IF(AND(AUTOEVENTO="Manual",$M32=1),0,IF(OFFSET(CRONOPLE!$F$14,$M32,AO$13)="",10^12,OFFSET(CRONOPLE!$F$14,$M32,AO$13))))</f>
        <v>4</v>
      </c>
      <c r="AP32" s="180">
        <f ca="1">IF($D32&lt;&gt;"Serviço",0,IF(AND(AUTOEVENTO="Manual",$M32=1),0,IF(OFFSET(CRONOPLE!$F$14,$M32,AP$13)="",10^12,OFFSET(CRONOPLE!$F$14,$M32,AP$13))))</f>
        <v>1000000000000</v>
      </c>
      <c r="AQ32" s="180">
        <f ca="1">IF($D32&lt;&gt;"Serviço",0,IF(AND(AUTOEVENTO="Manual",$M32=1),0,IF(OFFSET(CRONOPLE!$F$14,$M32,AQ$13)="",10^12,OFFSET(CRONOPLE!$F$14,$M32,AQ$13))))</f>
        <v>4</v>
      </c>
      <c r="AR32" s="180">
        <f ca="1">IF($D32&lt;&gt;"Serviço",0,IF(AND(AUTOEVENTO="Manual",$M32=1),0,IF(OFFSET(CRONOPLE!$F$14,$M32,AR$13)="",10^12,OFFSET(CRONOPLE!$F$14,$M32,AR$13))))</f>
        <v>1000000000000</v>
      </c>
      <c r="AS32" s="180">
        <f ca="1">IF($D32&lt;&gt;"Serviço",0,IF(AND(AUTOEVENTO="Manual",$M32=1),0,IF(OFFSET(CRONOPLE!$F$14,$M32,AS$13)="",10^12,OFFSET(CRONOPLE!$F$14,$M32,AS$13))))</f>
        <v>1000000000000</v>
      </c>
      <c r="AT32" s="180">
        <f ca="1">IF($D32&lt;&gt;"Serviço",0,IF(AND(AUTOEVENTO="Manual",$M32=1),0,IF(OFFSET(CRONOPLE!$F$14,$M32,AT$13)="",10^12,OFFSET(CRONOPLE!$F$14,$M32,AT$13))))</f>
        <v>1000000000000</v>
      </c>
      <c r="AU32" s="180">
        <f ca="1">IF($D32&lt;&gt;"Serviço",0,IF(AND(AUTOEVENTO="Manual",$M32=1),0,IF(OFFSET(CRONOPLE!$F$14,$M32,AU$13)="",10^12,OFFSET(CRONOPLE!$F$14,$M32,AU$13))))</f>
        <v>1000000000000</v>
      </c>
      <c r="AV32" s="180">
        <f ca="1">IF($D32&lt;&gt;"Serviço",0,IF(AND(AUTOEVENTO="Manual",$M32=1),0,IF(OFFSET(CRONOPLE!$F$14,$M32,AV$13)="",10^12,OFFSET(CRONOPLE!$F$14,$M32,AV$13))))</f>
        <v>1000000000000</v>
      </c>
      <c r="AX32" s="181">
        <f ca="1">IF($D32&lt;&gt;"Serviço",0,IF(OR(AND(AUTOEVENTO="Manual",$M32=1),$M32&gt;(ROW(PLE.lastrow)-ROW(PLE.firstrow))),0,IF(OFFSET(PLE!$G$14,$M32,AX$13)="",10^12,OFFSET(PLE!$G$14,$M32,AX$13))))</f>
        <v>1000000000000</v>
      </c>
      <c r="AY32" s="181">
        <f ca="1">IF($D32&lt;&gt;"Serviço",0,IF(OR(AND(AUTOEVENTO="Manual",$M32=1),$M32&gt;(ROW(PLE.lastrow)-ROW(PLE.firstrow))),0,IF(OFFSET(PLE!$G$14,$M32,AY$13)="",10^12,OFFSET(PLE!$G$14,$M32,AY$13))))</f>
        <v>1000000000000</v>
      </c>
      <c r="AZ32" s="181">
        <f ca="1">IF($D32&lt;&gt;"Serviço",0,IF(OR(AND(AUTOEVENTO="Manual",$M32=1),$M32&gt;(ROW(PLE.lastrow)-ROW(PLE.firstrow))),0,IF(OFFSET(PLE!$G$14,$M32,AZ$13)="",10^12,OFFSET(PLE!$G$14,$M32,AZ$13))))</f>
        <v>1000000000000</v>
      </c>
      <c r="BA32" s="181">
        <f ca="1">IF($D32&lt;&gt;"Serviço",0,IF(OR(AND(AUTOEVENTO="Manual",$M32=1),$M32&gt;(ROW(PLE.lastrow)-ROW(PLE.firstrow))),0,IF(OFFSET(PLE!$G$14,$M32,BA$13)="",10^12,OFFSET(PLE!$G$14,$M32,BA$13))))</f>
        <v>1000000000000</v>
      </c>
      <c r="BB32" s="181">
        <f ca="1">IF($D32&lt;&gt;"Serviço",0,IF(OR(AND(AUTOEVENTO="Manual",$M32=1),$M32&gt;(ROW(PLE.lastrow)-ROW(PLE.firstrow))),0,IF(OFFSET(PLE!$G$14,$M32,BB$13)="",10^12,OFFSET(PLE!$G$14,$M32,BB$13))))</f>
        <v>1000000000000</v>
      </c>
      <c r="BC32" s="181">
        <f ca="1">IF($D32&lt;&gt;"Serviço",0,IF(OR(AND(AUTOEVENTO="Manual",$M32=1),$M32&gt;(ROW(PLE.lastrow)-ROW(PLE.firstrow))),0,IF(OFFSET(PLE!$G$14,$M32,BC$13)="",10^12,OFFSET(PLE!$G$14,$M32,BC$13))))</f>
        <v>1000000000000</v>
      </c>
      <c r="BD32" s="181">
        <f ca="1">IF($D32&lt;&gt;"Serviço",0,IF(OR(AND(AUTOEVENTO="Manual",$M32=1),$M32&gt;(ROW(PLE.lastrow)-ROW(PLE.firstrow))),0,IF(OFFSET(PLE!$G$14,$M32,BD$13)="",10^12,OFFSET(PLE!$G$14,$M32,BD$13))))</f>
        <v>1000000000000</v>
      </c>
      <c r="BE32" s="181">
        <f ca="1">IF($D32&lt;&gt;"Serviço",0,IF(OR(AND(AUTOEVENTO="Manual",$M32=1),$M32&gt;(ROW(PLE.lastrow)-ROW(PLE.firstrow))),0,IF(OFFSET(PLE!$G$14,$M32,BE$13)="",10^12,OFFSET(PLE!$G$14,$M32,BE$13))))</f>
        <v>1000000000000</v>
      </c>
      <c r="BF32" s="181">
        <f ca="1">IF($D32&lt;&gt;"Serviço",0,IF(OR(AND(AUTOEVENTO="Manual",$M32=1),$M32&gt;(ROW(PLE.lastrow)-ROW(PLE.firstrow))),0,IF(OFFSET(PLE!$G$14,$M32,BF$13)="",10^12,OFFSET(PLE!$G$14,$M32,BF$13))))</f>
        <v>1000000000000</v>
      </c>
      <c r="BG32" s="181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102" x14ac:dyDescent="0.2">
      <c r="A33" s="7">
        <f t="shared" ca="1" si="8"/>
        <v>4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04-2024.xls)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57.9</v>
      </c>
      <c r="I33" s="561" t="s">
        <v>469</v>
      </c>
      <c r="K33" s="173" t="s">
        <v>488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4</v>
      </c>
      <c r="N33" s="176" t="str">
        <f ca="1">IF($D33&lt;&gt;"Serviço","",IF(AUTOEVENTO="Manual",IF($A33=0,"&lt;-- defina o número do agrupador",OFFSET(EVENTOS!$D$14,$A33,0)),OFFSET($F$15,$A33,0)))</f>
        <v>Pavimantação - Pista</v>
      </c>
      <c r="O33" s="177"/>
      <c r="Q33" s="177"/>
      <c r="R33" s="178">
        <f>((R30*(0.22*0.11*0.1))*15)</f>
        <v>28.949250000000003</v>
      </c>
      <c r="S33" s="178">
        <f>((S30*(0.22*0.11*0.1))*15)</f>
        <v>28.949250000000003</v>
      </c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3</v>
      </c>
      <c r="AO33" s="180">
        <f ca="1">IF($D33&lt;&gt;"Serviço",0,IF(AND(AUTOEVENTO="Manual",$M33=1),0,IF(OFFSET(CRONOPLE!$F$14,$M33,AO$13)="",10^12,OFFSET(CRONOPLE!$F$14,$M33,AO$13))))</f>
        <v>4</v>
      </c>
      <c r="AP33" s="180">
        <f ca="1">IF($D33&lt;&gt;"Serviço",0,IF(AND(AUTOEVENTO="Manual",$M33=1),0,IF(OFFSET(CRONOPLE!$F$14,$M33,AP$13)="",10^12,OFFSET(CRONOPLE!$F$14,$M33,AP$13))))</f>
        <v>1000000000000</v>
      </c>
      <c r="AQ33" s="180">
        <f ca="1">IF($D33&lt;&gt;"Serviço",0,IF(AND(AUTOEVENTO="Manual",$M33=1),0,IF(OFFSET(CRONOPLE!$F$14,$M33,AQ$13)="",10^12,OFFSET(CRONOPLE!$F$14,$M33,AQ$13))))</f>
        <v>4</v>
      </c>
      <c r="AR33" s="180">
        <f ca="1">IF($D33&lt;&gt;"Serviço",0,IF(AND(AUTOEVENTO="Manual",$M33=1),0,IF(OFFSET(CRONOPLE!$F$14,$M33,AR$13)="",10^12,OFFSET(CRONOPLE!$F$14,$M33,AR$13))))</f>
        <v>1000000000000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s="581" customFormat="1" ht="12.75" x14ac:dyDescent="0.2">
      <c r="A34" s="7">
        <f t="shared" ca="1" si="8"/>
        <v>5</v>
      </c>
      <c r="B34" s="7">
        <f ca="1">OFFSET(ORÇAMENTO!C$15,ROW(B34)-ROW(B$15),0)</f>
        <v>2</v>
      </c>
      <c r="C34" s="7" t="str">
        <f ca="1">OFFSET(ORÇAMENTO!L$15,ROW(C34)-ROW(C$15),0)</f>
        <v>F</v>
      </c>
      <c r="D34" s="118" t="str">
        <f ca="1">OFFSET(ORÇAMENTO!N$15,ROW(D34)-ROW(D$15),0)</f>
        <v>Nível 2</v>
      </c>
      <c r="E34" s="119" t="str">
        <f ca="1">OFFSET(ORÇAMENTO!O$15,ROW(E34)-ROW(E$15),0)</f>
        <v>1.5.</v>
      </c>
      <c r="F34" s="171" t="str">
        <f ca="1">OFFSET(ORÇAMENTO!R$15,ROW(F34)-ROW(F$15),0)</f>
        <v>RECOMPOSIÇÃO DE DISPOSITIVOS DE DRENAGEM EXISTENTE</v>
      </c>
      <c r="G34" s="172" t="str">
        <f ca="1">IF($D34&lt;&gt;"Serviço","",OFFSET(ORÇAMENTO!S$15,ROW(G34)-ROW(G$15),0))</f>
        <v/>
      </c>
      <c r="H34" s="124">
        <f ca="1">IF($D34&lt;&gt;"Serviço",0,IF(ACOMPANHAMENTO="BM",ROUND(OFFSET(ORÇAMENTO!AJ$15,ROW(H34)-ROW(H$15),0),15-13*ORÇAMENTO!$AF$7),SUMPRODUCT(($Q$12:$AA$12&lt;&gt;"")*ROUND($Q34:$AA34,15-13*ORÇAMENTO!$AF$7))))</f>
        <v>0</v>
      </c>
      <c r="I34" s="561"/>
      <c r="K34" s="173" t="s">
        <v>505</v>
      </c>
      <c r="L34" s="174" t="s">
        <v>257</v>
      </c>
      <c r="M34" s="175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176" t="str">
        <f ca="1">IF($D34&lt;&gt;"Serviço","",IF(AUTOEVENTO="Manual",IF($A34=0,"&lt;-- defina o número do agrupador",OFFSET(EVENTOS!$D$14,$A34,0)),OFFSET($F$15,$A34,0)))</f>
        <v/>
      </c>
      <c r="O34" s="177"/>
      <c r="Q34" s="177"/>
      <c r="R34" s="178"/>
      <c r="S34" s="178"/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0</v>
      </c>
      <c r="AN34" s="180">
        <f ca="1">IF($D34&lt;&gt;"Serviço",0,IF(AND(AUTOEVENTO="Manual",$M34=1),0,IF(OFFSET(CRONOPLE!$F$14,$M34,AN$13)="",10^12,OFFSET(CRONOPLE!$F$14,$M34,AN$13))))</f>
        <v>0</v>
      </c>
      <c r="AO34" s="180">
        <f ca="1">IF($D34&lt;&gt;"Serviço",0,IF(AND(AUTOEVENTO="Manual",$M34=1),0,IF(OFFSET(CRONOPLE!$F$14,$M34,AO$13)="",10^12,OFFSET(CRONOPLE!$F$14,$M34,AO$13))))</f>
        <v>0</v>
      </c>
      <c r="AP34" s="180">
        <f ca="1">IF($D34&lt;&gt;"Serviço",0,IF(AND(AUTOEVENTO="Manual",$M34=1),0,IF(OFFSET(CRONOPLE!$F$14,$M34,AP$13)="",10^12,OFFSET(CRONOPLE!$F$14,$M34,AP$13))))</f>
        <v>0</v>
      </c>
      <c r="AQ34" s="180">
        <f ca="1">IF($D34&lt;&gt;"Serviço",0,IF(AND(AUTOEVENTO="Manual",$M34=1),0,IF(OFFSET(CRONOPLE!$F$14,$M34,AQ$13)="",10^12,OFFSET(CRONOPLE!$F$14,$M34,AQ$13))))</f>
        <v>0</v>
      </c>
      <c r="AR34" s="180">
        <f ca="1">IF($D34&lt;&gt;"Serviço",0,IF(AND(AUTOEVENTO="Manual",$M34=1),0,IF(OFFSET(CRONOPLE!$F$14,$M34,AR$13)="",10^12,OFFSET(CRONOPLE!$F$14,$M34,AR$13))))</f>
        <v>0</v>
      </c>
      <c r="AS34" s="180">
        <f ca="1">IF($D34&lt;&gt;"Serviço",0,IF(AND(AUTOEVENTO="Manual",$M34=1),0,IF(OFFSET(CRONOPLE!$F$14,$M34,AS$13)="",10^12,OFFSET(CRONOPLE!$F$14,$M34,AS$13))))</f>
        <v>0</v>
      </c>
      <c r="AT34" s="180">
        <f ca="1">IF($D34&lt;&gt;"Serviço",0,IF(AND(AUTOEVENTO="Manual",$M34=1),0,IF(OFFSET(CRONOPLE!$F$14,$M34,AT$13)="",10^12,OFFSET(CRONOPLE!$F$14,$M34,AT$13))))</f>
        <v>0</v>
      </c>
      <c r="AU34" s="180">
        <f ca="1">IF($D34&lt;&gt;"Serviço",0,IF(AND(AUTOEVENTO="Manual",$M34=1),0,IF(OFFSET(CRONOPLE!$F$14,$M34,AU$13)="",10^12,OFFSET(CRONOPLE!$F$14,$M34,AU$13))))</f>
        <v>0</v>
      </c>
      <c r="AV34" s="180">
        <f ca="1">IF($D34&lt;&gt;"Serviço",0,IF(AND(AUTOEVENTO="Manual",$M34=1),0,IF(OFFSET(CRONOPLE!$F$14,$M34,AV$13)="",10^12,OFFSET(CRONOPLE!$F$14,$M34,AV$13))))</f>
        <v>0</v>
      </c>
      <c r="AX34" s="181">
        <f ca="1">IF($D34&lt;&gt;"Serviço",0,IF(OR(AND(AUTOEVENTO="Manual",$M34=1),$M34&gt;(ROW(PLE.lastrow)-ROW(PLE.firstrow))),0,IF(OFFSET(PLE!$G$14,$M34,AX$13)="",10^12,OFFSET(PLE!$G$14,$M34,AX$13))))</f>
        <v>0</v>
      </c>
      <c r="AY34" s="181">
        <f ca="1">IF($D34&lt;&gt;"Serviço",0,IF(OR(AND(AUTOEVENTO="Manual",$M34=1),$M34&gt;(ROW(PLE.lastrow)-ROW(PLE.firstrow))),0,IF(OFFSET(PLE!$G$14,$M34,AY$13)="",10^12,OFFSET(PLE!$G$14,$M34,AY$13))))</f>
        <v>0</v>
      </c>
      <c r="AZ34" s="181">
        <f ca="1">IF($D34&lt;&gt;"Serviço",0,IF(OR(AND(AUTOEVENTO="Manual",$M34=1),$M34&gt;(ROW(PLE.lastrow)-ROW(PLE.firstrow))),0,IF(OFFSET(PLE!$G$14,$M34,AZ$13)="",10^12,OFFSET(PLE!$G$14,$M34,AZ$13))))</f>
        <v>0</v>
      </c>
      <c r="BA34" s="181">
        <f ca="1">IF($D34&lt;&gt;"Serviço",0,IF(OR(AND(AUTOEVENTO="Manual",$M34=1),$M34&gt;(ROW(PLE.lastrow)-ROW(PLE.firstrow))),0,IF(OFFSET(PLE!$G$14,$M34,BA$13)="",10^12,OFFSET(PLE!$G$14,$M34,BA$13))))</f>
        <v>0</v>
      </c>
      <c r="BB34" s="181">
        <f ca="1">IF($D34&lt;&gt;"Serviço",0,IF(OR(AND(AUTOEVENTO="Manual",$M34=1),$M34&gt;(ROW(PLE.lastrow)-ROW(PLE.firstrow))),0,IF(OFFSET(PLE!$G$14,$M34,BB$13)="",10^12,OFFSET(PLE!$G$14,$M34,BB$13))))</f>
        <v>0</v>
      </c>
      <c r="BC34" s="181">
        <f ca="1">IF($D34&lt;&gt;"Serviço",0,IF(OR(AND(AUTOEVENTO="Manual",$M34=1),$M34&gt;(ROW(PLE.lastrow)-ROW(PLE.firstrow))),0,IF(OFFSET(PLE!$G$14,$M34,BC$13)="",10^12,OFFSET(PLE!$G$14,$M34,BC$13))))</f>
        <v>0</v>
      </c>
      <c r="BD34" s="181">
        <f ca="1">IF($D34&lt;&gt;"Serviço",0,IF(OR(AND(AUTOEVENTO="Manual",$M34=1),$M34&gt;(ROW(PLE.lastrow)-ROW(PLE.firstrow))),0,IF(OFFSET(PLE!$G$14,$M34,BD$13)="",10^12,OFFSET(PLE!$G$14,$M34,BD$13))))</f>
        <v>0</v>
      </c>
      <c r="BE34" s="181">
        <f ca="1">IF($D34&lt;&gt;"Serviço",0,IF(OR(AND(AUTOEVENTO="Manual",$M34=1),$M34&gt;(ROW(PLE.lastrow)-ROW(PLE.firstrow))),0,IF(OFFSET(PLE!$G$14,$M34,BE$13)="",10^12,OFFSET(PLE!$G$14,$M34,BE$13))))</f>
        <v>0</v>
      </c>
      <c r="BF34" s="181">
        <f ca="1">IF($D34&lt;&gt;"Serviço",0,IF(OR(AND(AUTOEVENTO="Manual",$M34=1),$M34&gt;(ROW(PLE.lastrow)-ROW(PLE.firstrow))),0,IF(OFFSET(PLE!$G$14,$M34,BF$13)="",10^12,OFFSET(PLE!$G$14,$M34,BF$13))))</f>
        <v>0</v>
      </c>
      <c r="BG34" s="181">
        <f ca="1">IF($D34&lt;&gt;"Serviço",0,IF(OR(AND(AUTOEVENTO="Manual",$M34=1),$M34&gt;(ROW(PLE.lastrow)-ROW(PLE.firstrow))),0,IF(OFFSET(PLE!$G$14,$M34,BG$13)="",10^12,OFFSET(PLE!$G$14,$M34,BG$13))))</f>
        <v>0</v>
      </c>
    </row>
    <row r="35" spans="1:59" s="581" customFormat="1" ht="12.75" x14ac:dyDescent="0.2">
      <c r="A35" s="7">
        <f t="shared" ca="1" si="8"/>
        <v>5</v>
      </c>
      <c r="B35" s="7">
        <f ca="1">OFFSET(ORÇAMENTO!C$15,ROW(B35)-ROW(B$15),0)</f>
        <v>3</v>
      </c>
      <c r="C35" s="7" t="str">
        <f ca="1">OFFSET(ORÇAMENTO!L$15,ROW(C35)-ROW(C$15),0)</f>
        <v>F</v>
      </c>
      <c r="D35" s="118" t="str">
        <f ca="1">OFFSET(ORÇAMENTO!N$15,ROW(D35)-ROW(D$15),0)</f>
        <v>Nível 3</v>
      </c>
      <c r="E35" s="119" t="str">
        <f ca="1">OFFSET(ORÇAMENTO!O$15,ROW(E35)-ROW(E$15),0)</f>
        <v>1.5.1.</v>
      </c>
      <c r="F35" s="171" t="str">
        <f ca="1">OFFSET(ORÇAMENTO!R$15,ROW(F35)-ROW(F$15),0)</f>
        <v>Boca de Lobo</v>
      </c>
      <c r="G35" s="172" t="str">
        <f ca="1">IF($D35&lt;&gt;"Serviço","",OFFSET(ORÇAMENTO!S$15,ROW(G35)-ROW(G$15),0))</f>
        <v/>
      </c>
      <c r="H35" s="124">
        <f ca="1">IF($D35&lt;&gt;"Serviço",0,IF(ACOMPANHAMENTO="BM",ROUND(OFFSET(ORÇAMENTO!AJ$15,ROW(H35)-ROW(H$15),0),15-13*ORÇAMENTO!$AF$7),SUMPRODUCT(($Q$12:$AA$12&lt;&gt;"")*ROUND($Q35:$AA35,15-13*ORÇAMENTO!$AF$7))))</f>
        <v>0</v>
      </c>
      <c r="I35" s="561"/>
      <c r="K35" s="173" t="s">
        <v>505</v>
      </c>
      <c r="L35" s="174" t="s">
        <v>257</v>
      </c>
      <c r="M35" s="175" t="str">
        <f ca="1">IF($D35&lt;&gt;"Serviço","",IF(AUTOEVENTO="manual",$A35,IF(ISERROR(MATCH($A35,$A$15:OFFSET($A35,-1,0),0)),MAX($M$15:OFFSET(M35,-1,0))+1,INDEX($M$15:OFFSET(M35,-1,0),MATCH($A35,$A$15:OFFSET($A35,-1,0),0)))))</f>
        <v/>
      </c>
      <c r="N35" s="176" t="str">
        <f ca="1">IF($D35&lt;&gt;"Serviço","",IF(AUTOEVENTO="Manual",IF($A35=0,"&lt;-- defina o número do agrupador",OFFSET(EVENTOS!$D$14,$A35,0)),OFFSET($F$15,$A35,0)))</f>
        <v/>
      </c>
      <c r="O35" s="177"/>
      <c r="Q35" s="177"/>
      <c r="R35" s="178"/>
      <c r="S35" s="178"/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0</v>
      </c>
      <c r="AN35" s="180">
        <f ca="1">IF($D35&lt;&gt;"Serviço",0,IF(AND(AUTOEVENTO="Manual",$M35=1),0,IF(OFFSET(CRONOPLE!$F$14,$M35,AN$13)="",10^12,OFFSET(CRONOPLE!$F$14,$M35,AN$13))))</f>
        <v>0</v>
      </c>
      <c r="AO35" s="180">
        <f ca="1">IF($D35&lt;&gt;"Serviço",0,IF(AND(AUTOEVENTO="Manual",$M35=1),0,IF(OFFSET(CRONOPLE!$F$14,$M35,AO$13)="",10^12,OFFSET(CRONOPLE!$F$14,$M35,AO$13))))</f>
        <v>0</v>
      </c>
      <c r="AP35" s="180">
        <f ca="1">IF($D35&lt;&gt;"Serviço",0,IF(AND(AUTOEVENTO="Manual",$M35=1),0,IF(OFFSET(CRONOPLE!$F$14,$M35,AP$13)="",10^12,OFFSET(CRONOPLE!$F$14,$M35,AP$13))))</f>
        <v>0</v>
      </c>
      <c r="AQ35" s="180">
        <f ca="1">IF($D35&lt;&gt;"Serviço",0,IF(AND(AUTOEVENTO="Manual",$M35=1),0,IF(OFFSET(CRONOPLE!$F$14,$M35,AQ$13)="",10^12,OFFSET(CRONOPLE!$F$14,$M35,AQ$13))))</f>
        <v>0</v>
      </c>
      <c r="AR35" s="180">
        <f ca="1">IF($D35&lt;&gt;"Serviço",0,IF(AND(AUTOEVENTO="Manual",$M35=1),0,IF(OFFSET(CRONOPLE!$F$14,$M35,AR$13)="",10^12,OFFSET(CRONOPLE!$F$14,$M35,AR$13))))</f>
        <v>0</v>
      </c>
      <c r="AS35" s="180">
        <f ca="1">IF($D35&lt;&gt;"Serviço",0,IF(AND(AUTOEVENTO="Manual",$M35=1),0,IF(OFFSET(CRONOPLE!$F$14,$M35,AS$13)="",10^12,OFFSET(CRONOPLE!$F$14,$M35,AS$13))))</f>
        <v>0</v>
      </c>
      <c r="AT35" s="180">
        <f ca="1">IF($D35&lt;&gt;"Serviço",0,IF(AND(AUTOEVENTO="Manual",$M35=1),0,IF(OFFSET(CRONOPLE!$F$14,$M35,AT$13)="",10^12,OFFSET(CRONOPLE!$F$14,$M35,AT$13))))</f>
        <v>0</v>
      </c>
      <c r="AU35" s="180">
        <f ca="1">IF($D35&lt;&gt;"Serviço",0,IF(AND(AUTOEVENTO="Manual",$M35=1),0,IF(OFFSET(CRONOPLE!$F$14,$M35,AU$13)="",10^12,OFFSET(CRONOPLE!$F$14,$M35,AU$13))))</f>
        <v>0</v>
      </c>
      <c r="AV35" s="180">
        <f ca="1">IF($D35&lt;&gt;"Serviço",0,IF(AND(AUTOEVENTO="Manual",$M35=1),0,IF(OFFSET(CRONOPLE!$F$14,$M35,AV$13)="",10^12,OFFSET(CRONOPLE!$F$14,$M35,AV$13))))</f>
        <v>0</v>
      </c>
      <c r="AX35" s="181">
        <f ca="1">IF($D35&lt;&gt;"Serviço",0,IF(OR(AND(AUTOEVENTO="Manual",$M35=1),$M35&gt;(ROW(PLE.lastrow)-ROW(PLE.firstrow))),0,IF(OFFSET(PLE!$G$14,$M35,AX$13)="",10^12,OFFSET(PLE!$G$14,$M35,AX$13))))</f>
        <v>0</v>
      </c>
      <c r="AY35" s="181">
        <f ca="1">IF($D35&lt;&gt;"Serviço",0,IF(OR(AND(AUTOEVENTO="Manual",$M35=1),$M35&gt;(ROW(PLE.lastrow)-ROW(PLE.firstrow))),0,IF(OFFSET(PLE!$G$14,$M35,AY$13)="",10^12,OFFSET(PLE!$G$14,$M35,AY$13))))</f>
        <v>0</v>
      </c>
      <c r="AZ35" s="181">
        <f ca="1">IF($D35&lt;&gt;"Serviço",0,IF(OR(AND(AUTOEVENTO="Manual",$M35=1),$M35&gt;(ROW(PLE.lastrow)-ROW(PLE.firstrow))),0,IF(OFFSET(PLE!$G$14,$M35,AZ$13)="",10^12,OFFSET(PLE!$G$14,$M35,AZ$13))))</f>
        <v>0</v>
      </c>
      <c r="BA35" s="181">
        <f ca="1">IF($D35&lt;&gt;"Serviço",0,IF(OR(AND(AUTOEVENTO="Manual",$M35=1),$M35&gt;(ROW(PLE.lastrow)-ROW(PLE.firstrow))),0,IF(OFFSET(PLE!$G$14,$M35,BA$13)="",10^12,OFFSET(PLE!$G$14,$M35,BA$13))))</f>
        <v>0</v>
      </c>
      <c r="BB35" s="181">
        <f ca="1">IF($D35&lt;&gt;"Serviço",0,IF(OR(AND(AUTOEVENTO="Manual",$M35=1),$M35&gt;(ROW(PLE.lastrow)-ROW(PLE.firstrow))),0,IF(OFFSET(PLE!$G$14,$M35,BB$13)="",10^12,OFFSET(PLE!$G$14,$M35,BB$13))))</f>
        <v>0</v>
      </c>
      <c r="BC35" s="181">
        <f ca="1">IF($D35&lt;&gt;"Serviço",0,IF(OR(AND(AUTOEVENTO="Manual",$M35=1),$M35&gt;(ROW(PLE.lastrow)-ROW(PLE.firstrow))),0,IF(OFFSET(PLE!$G$14,$M35,BC$13)="",10^12,OFFSET(PLE!$G$14,$M35,BC$13))))</f>
        <v>0</v>
      </c>
      <c r="BD35" s="181">
        <f ca="1">IF($D35&lt;&gt;"Serviço",0,IF(OR(AND(AUTOEVENTO="Manual",$M35=1),$M35&gt;(ROW(PLE.lastrow)-ROW(PLE.firstrow))),0,IF(OFFSET(PLE!$G$14,$M35,BD$13)="",10^12,OFFSET(PLE!$G$14,$M35,BD$13))))</f>
        <v>0</v>
      </c>
      <c r="BE35" s="181">
        <f ca="1">IF($D35&lt;&gt;"Serviço",0,IF(OR(AND(AUTOEVENTO="Manual",$M35=1),$M35&gt;(ROW(PLE.lastrow)-ROW(PLE.firstrow))),0,IF(OFFSET(PLE!$G$14,$M35,BE$13)="",10^12,OFFSET(PLE!$G$14,$M35,BE$13))))</f>
        <v>0</v>
      </c>
      <c r="BF35" s="181">
        <f ca="1">IF($D35&lt;&gt;"Serviço",0,IF(OR(AND(AUTOEVENTO="Manual",$M35=1),$M35&gt;(ROW(PLE.lastrow)-ROW(PLE.firstrow))),0,IF(OFFSET(PLE!$G$14,$M35,BF$13)="",10^12,OFFSET(PLE!$G$14,$M35,BF$13))))</f>
        <v>0</v>
      </c>
      <c r="BG35" s="181">
        <f ca="1">IF($D35&lt;&gt;"Serviço",0,IF(OR(AND(AUTOEVENTO="Manual",$M35=1),$M35&gt;(ROW(PLE.lastrow)-ROW(PLE.firstrow))),0,IF(OFFSET(PLE!$G$14,$M35,BG$13)="",10^12,OFFSET(PLE!$G$14,$M35,BG$13))))</f>
        <v>0</v>
      </c>
    </row>
    <row r="36" spans="1:59" s="581" customFormat="1" ht="38.25" x14ac:dyDescent="0.2">
      <c r="A36" s="7">
        <f t="shared" ca="1" si="8"/>
        <v>5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04-2024.xls)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1</v>
      </c>
      <c r="I36" s="561" t="s">
        <v>507</v>
      </c>
      <c r="K36" s="173" t="s">
        <v>505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5</v>
      </c>
      <c r="N36" s="176" t="str">
        <f ca="1">IF($D36&lt;&gt;"Serviço","",IF(AUTOEVENTO="Manual",IF($A36=0,"&lt;-- defina o número do agrupador",OFFSET(EVENTOS!$D$14,$A36,0)),OFFSET($F$15,$A36,0)))</f>
        <v>Recompisição de drenagem</v>
      </c>
      <c r="O36" s="177"/>
      <c r="Q36" s="177"/>
      <c r="R36" s="178">
        <v>1</v>
      </c>
      <c r="S36" s="178"/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3</v>
      </c>
      <c r="AO36" s="180">
        <f ca="1">IF($D36&lt;&gt;"Serviço",0,IF(AND(AUTOEVENTO="Manual",$M36=1),0,IF(OFFSET(CRONOPLE!$F$14,$M36,AO$13)="",10^12,OFFSET(CRONOPLE!$F$14,$M36,AO$13))))</f>
        <v>1000000000000</v>
      </c>
      <c r="AP36" s="180">
        <f ca="1">IF($D36&lt;&gt;"Serviço",0,IF(AND(AUTOEVENTO="Manual",$M36=1),0,IF(OFFSET(CRONOPLE!$F$14,$M36,AP$13)="",10^12,OFFSET(CRONOPLE!$F$14,$M36,AP$13))))</f>
        <v>1000000000000</v>
      </c>
      <c r="AQ36" s="180">
        <f ca="1">IF($D36&lt;&gt;"Serviço",0,IF(AND(AUTOEVENTO="Manual",$M36=1),0,IF(OFFSET(CRONOPLE!$F$14,$M36,AQ$13)="",10^12,OFFSET(CRONOPLE!$F$14,$M36,AQ$13))))</f>
        <v>1000000000000</v>
      </c>
      <c r="AR36" s="180">
        <f ca="1">IF($D36&lt;&gt;"Serviço",0,IF(AND(AUTOEVENTO="Manual",$M36=1),0,IF(OFFSET(CRONOPLE!$F$14,$M36,AR$13)="",10^12,OFFSET(CRONOPLE!$F$14,$M36,AR$13))))</f>
        <v>1000000000000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s="585" customFormat="1" ht="25.5" x14ac:dyDescent="0.2">
      <c r="A37" s="7">
        <f t="shared" ca="1" si="8"/>
        <v>8</v>
      </c>
      <c r="B37" s="7">
        <f ca="1">OFFSET(ORÇAMENTO!C$15,ROW(B37)-ROW(B$15),0)</f>
        <v>2</v>
      </c>
      <c r="C37" s="7" t="str">
        <f ca="1">OFFSET(ORÇAMENTO!L$15,ROW(C37)-ROW(C$15),0)</f>
        <v>F</v>
      </c>
      <c r="D37" s="118" t="str">
        <f ca="1">OFFSET(ORÇAMENTO!N$15,ROW(D37)-ROW(D$15),0)</f>
        <v>Nível 2</v>
      </c>
      <c r="E37" s="119" t="str">
        <f ca="1">OFFSET(ORÇAMENTO!O$15,ROW(E37)-ROW(E$15),0)</f>
        <v>1.6.</v>
      </c>
      <c r="F37" s="171" t="str">
        <f ca="1">OFFSET(ORÇAMENTO!R$15,ROW(F37)-ROW(F$15),0)</f>
        <v>FAIXA ELEVADA PAERA TRAVESSIA DE PEDESTRE EM BLOCO DE CONCRETO</v>
      </c>
      <c r="G37" s="172" t="str">
        <f ca="1">IF($D37&lt;&gt;"Serviço","",OFFSET(ORÇAMENTO!S$15,ROW(G37)-ROW(G$15),0))</f>
        <v/>
      </c>
      <c r="H37" s="124">
        <f ca="1">IF($D37&lt;&gt;"Serviço",0,IF(ACOMPANHAMENTO="BM",ROUND(OFFSET(ORÇAMENTO!AJ$15,ROW(H37)-ROW(H$15),0),15-13*ORÇAMENTO!$AF$7),SUMPRODUCT(($Q$12:$AA$12&lt;&gt;"")*ROUND($Q37:$AA37,15-13*ORÇAMENTO!$AF$7))))</f>
        <v>0</v>
      </c>
      <c r="I37" s="561"/>
      <c r="K37" s="173" t="s">
        <v>518</v>
      </c>
      <c r="L37" s="174" t="s">
        <v>257</v>
      </c>
      <c r="M37" s="175" t="str">
        <f ca="1">IF($D37&lt;&gt;"Serviço","",IF(AUTOEVENTO="manual",$A37,IF(ISERROR(MATCH($A37,$A$15:OFFSET($A37,-1,0),0)),MAX($M$15:OFFSET(M37,-1,0))+1,INDEX($M$15:OFFSET(M37,-1,0),MATCH($A37,$A$15:OFFSET($A37,-1,0),0)))))</f>
        <v/>
      </c>
      <c r="N37" s="176" t="str">
        <f ca="1">IF($D37&lt;&gt;"Serviço","",IF(AUTOEVENTO="Manual",IF($A37=0,"&lt;-- defina o número do agrupador",OFFSET(EVENTOS!$D$14,$A37,0)),OFFSET($F$15,$A37,0)))</f>
        <v/>
      </c>
      <c r="O37" s="177"/>
      <c r="Q37" s="177"/>
      <c r="R37" s="178"/>
      <c r="S37" s="178"/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0</v>
      </c>
      <c r="AN37" s="180">
        <f ca="1">IF($D37&lt;&gt;"Serviço",0,IF(AND(AUTOEVENTO="Manual",$M37=1),0,IF(OFFSET(CRONOPLE!$F$14,$M37,AN$13)="",10^12,OFFSET(CRONOPLE!$F$14,$M37,AN$13))))</f>
        <v>0</v>
      </c>
      <c r="AO37" s="180">
        <f ca="1">IF($D37&lt;&gt;"Serviço",0,IF(AND(AUTOEVENTO="Manual",$M37=1),0,IF(OFFSET(CRONOPLE!$F$14,$M37,AO$13)="",10^12,OFFSET(CRONOPLE!$F$14,$M37,AO$13))))</f>
        <v>0</v>
      </c>
      <c r="AP37" s="180">
        <f ca="1">IF($D37&lt;&gt;"Serviço",0,IF(AND(AUTOEVENTO="Manual",$M37=1),0,IF(OFFSET(CRONOPLE!$F$14,$M37,AP$13)="",10^12,OFFSET(CRONOPLE!$F$14,$M37,AP$13))))</f>
        <v>0</v>
      </c>
      <c r="AQ37" s="180">
        <f ca="1">IF($D37&lt;&gt;"Serviço",0,IF(AND(AUTOEVENTO="Manual",$M37=1),0,IF(OFFSET(CRONOPLE!$F$14,$M37,AQ$13)="",10^12,OFFSET(CRONOPLE!$F$14,$M37,AQ$13))))</f>
        <v>0</v>
      </c>
      <c r="AR37" s="180">
        <f ca="1">IF($D37&lt;&gt;"Serviço",0,IF(AND(AUTOEVENTO="Manual",$M37=1),0,IF(OFFSET(CRONOPLE!$F$14,$M37,AR$13)="",10^12,OFFSET(CRONOPLE!$F$14,$M37,AR$13))))</f>
        <v>0</v>
      </c>
      <c r="AS37" s="180">
        <f ca="1">IF($D37&lt;&gt;"Serviço",0,IF(AND(AUTOEVENTO="Manual",$M37=1),0,IF(OFFSET(CRONOPLE!$F$14,$M37,AS$13)="",10^12,OFFSET(CRONOPLE!$F$14,$M37,AS$13))))</f>
        <v>0</v>
      </c>
      <c r="AT37" s="180">
        <f ca="1">IF($D37&lt;&gt;"Serviço",0,IF(AND(AUTOEVENTO="Manual",$M37=1),0,IF(OFFSET(CRONOPLE!$F$14,$M37,AT$13)="",10^12,OFFSET(CRONOPLE!$F$14,$M37,AT$13))))</f>
        <v>0</v>
      </c>
      <c r="AU37" s="180">
        <f ca="1">IF($D37&lt;&gt;"Serviço",0,IF(AND(AUTOEVENTO="Manual",$M37=1),0,IF(OFFSET(CRONOPLE!$F$14,$M37,AU$13)="",10^12,OFFSET(CRONOPLE!$F$14,$M37,AU$13))))</f>
        <v>0</v>
      </c>
      <c r="AV37" s="180">
        <f ca="1">IF($D37&lt;&gt;"Serviço",0,IF(AND(AUTOEVENTO="Manual",$M37=1),0,IF(OFFSET(CRONOPLE!$F$14,$M37,AV$13)="",10^12,OFFSET(CRONOPLE!$F$14,$M37,AV$13))))</f>
        <v>0</v>
      </c>
      <c r="AX37" s="181">
        <f ca="1">IF($D37&lt;&gt;"Serviço",0,IF(OR(AND(AUTOEVENTO="Manual",$M37=1),$M37&gt;(ROW(PLE.lastrow)-ROW(PLE.firstrow))),0,IF(OFFSET(PLE!$G$14,$M37,AX$13)="",10^12,OFFSET(PLE!$G$14,$M37,AX$13))))</f>
        <v>0</v>
      </c>
      <c r="AY37" s="181">
        <f ca="1">IF($D37&lt;&gt;"Serviço",0,IF(OR(AND(AUTOEVENTO="Manual",$M37=1),$M37&gt;(ROW(PLE.lastrow)-ROW(PLE.firstrow))),0,IF(OFFSET(PLE!$G$14,$M37,AY$13)="",10^12,OFFSET(PLE!$G$14,$M37,AY$13))))</f>
        <v>0</v>
      </c>
      <c r="AZ37" s="181">
        <f ca="1">IF($D37&lt;&gt;"Serviço",0,IF(OR(AND(AUTOEVENTO="Manual",$M37=1),$M37&gt;(ROW(PLE.lastrow)-ROW(PLE.firstrow))),0,IF(OFFSET(PLE!$G$14,$M37,AZ$13)="",10^12,OFFSET(PLE!$G$14,$M37,AZ$13))))</f>
        <v>0</v>
      </c>
      <c r="BA37" s="181">
        <f ca="1">IF($D37&lt;&gt;"Serviço",0,IF(OR(AND(AUTOEVENTO="Manual",$M37=1),$M37&gt;(ROW(PLE.lastrow)-ROW(PLE.firstrow))),0,IF(OFFSET(PLE!$G$14,$M37,BA$13)="",10^12,OFFSET(PLE!$G$14,$M37,BA$13))))</f>
        <v>0</v>
      </c>
      <c r="BB37" s="181">
        <f ca="1">IF($D37&lt;&gt;"Serviço",0,IF(OR(AND(AUTOEVENTO="Manual",$M37=1),$M37&gt;(ROW(PLE.lastrow)-ROW(PLE.firstrow))),0,IF(OFFSET(PLE!$G$14,$M37,BB$13)="",10^12,OFFSET(PLE!$G$14,$M37,BB$13))))</f>
        <v>0</v>
      </c>
      <c r="BC37" s="181">
        <f ca="1">IF($D37&lt;&gt;"Serviço",0,IF(OR(AND(AUTOEVENTO="Manual",$M37=1),$M37&gt;(ROW(PLE.lastrow)-ROW(PLE.firstrow))),0,IF(OFFSET(PLE!$G$14,$M37,BC$13)="",10^12,OFFSET(PLE!$G$14,$M37,BC$13))))</f>
        <v>0</v>
      </c>
      <c r="BD37" s="181">
        <f ca="1">IF($D37&lt;&gt;"Serviço",0,IF(OR(AND(AUTOEVENTO="Manual",$M37=1),$M37&gt;(ROW(PLE.lastrow)-ROW(PLE.firstrow))),0,IF(OFFSET(PLE!$G$14,$M37,BD$13)="",10^12,OFFSET(PLE!$G$14,$M37,BD$13))))</f>
        <v>0</v>
      </c>
      <c r="BE37" s="181">
        <f ca="1">IF($D37&lt;&gt;"Serviço",0,IF(OR(AND(AUTOEVENTO="Manual",$M37=1),$M37&gt;(ROW(PLE.lastrow)-ROW(PLE.firstrow))),0,IF(OFFSET(PLE!$G$14,$M37,BE$13)="",10^12,OFFSET(PLE!$G$14,$M37,BE$13))))</f>
        <v>0</v>
      </c>
      <c r="BF37" s="181">
        <f ca="1">IF($D37&lt;&gt;"Serviço",0,IF(OR(AND(AUTOEVENTO="Manual",$M37=1),$M37&gt;(ROW(PLE.lastrow)-ROW(PLE.firstrow))),0,IF(OFFSET(PLE!$G$14,$M37,BF$13)="",10^12,OFFSET(PLE!$G$14,$M37,BF$13))))</f>
        <v>0</v>
      </c>
      <c r="BG37" s="181">
        <f ca="1">IF($D37&lt;&gt;"Serviço",0,IF(OR(AND(AUTOEVENTO="Manual",$M37=1),$M37&gt;(ROW(PLE.lastrow)-ROW(PLE.firstrow))),0,IF(OFFSET(PLE!$G$14,$M37,BG$13)="",10^12,OFFSET(PLE!$G$14,$M37,BG$13))))</f>
        <v>0</v>
      </c>
    </row>
    <row r="38" spans="1:59" s="585" customFormat="1" ht="25.5" x14ac:dyDescent="0.2">
      <c r="A38" s="7">
        <f t="shared" ca="1" si="8"/>
        <v>8</v>
      </c>
      <c r="B38" s="7" t="str">
        <f ca="1">OFFSET(ORÇAMENTO!C$15,ROW(B38)-ROW(B$15),0)</f>
        <v>S</v>
      </c>
      <c r="C38" s="7" t="str">
        <f ca="1">OFFSET(ORÇAMENTO!L$15,ROW(C38)-ROW(C$15),0)</f>
        <v/>
      </c>
      <c r="D38" s="118" t="str">
        <f ca="1">OFFSET(ORÇAMENTO!N$15,ROW(D38)-ROW(D$15),0)</f>
        <v>Serviço</v>
      </c>
      <c r="E38" s="119" t="str">
        <f ca="1">OFFSET(ORÇAMENTO!O$15,ROW(E38)-ROW(E$15),0)</f>
        <v>-</v>
      </c>
      <c r="F38" s="171" t="str">
        <f ca="1">OFFSET(ORÇAMENTO!R$15,ROW(F38)-ROW(F$15),0)</f>
        <v>(abra o arquivo 'Referência 04-2024.xls)</v>
      </c>
      <c r="G38" s="172" t="str">
        <f ca="1">IF($D38&lt;&gt;"Serviço","",OFFSET(ORÇAMENTO!S$15,ROW(G38)-ROW(G$15),0))</f>
        <v>-</v>
      </c>
      <c r="H38" s="124">
        <f ca="1">IF($D38&lt;&gt;"Serviço",0,IF(ACOMPANHAMENTO="BM",ROUND(OFFSET(ORÇAMENTO!AJ$15,ROW(H38)-ROW(H$15),0),15-13*ORÇAMENTO!$AF$7),SUMPRODUCT(($Q$12:$AA$12&lt;&gt;"")*ROUND($Q38:$AA38,15-13*ORÇAMENTO!$AF$7))))</f>
        <v>80</v>
      </c>
      <c r="I38" s="561"/>
      <c r="K38" s="173" t="s">
        <v>518</v>
      </c>
      <c r="L38" s="174" t="s">
        <v>257</v>
      </c>
      <c r="M38" s="175">
        <f ca="1">IF($D38&lt;&gt;"Serviço","",IF(AUTOEVENTO="manual",$A38,IF(ISERROR(MATCH($A38,$A$15:OFFSET($A38,-1,0),0)),MAX($M$15:OFFSET(M38,-1,0))+1,INDEX($M$15:OFFSET(M38,-1,0),MATCH($A38,$A$15:OFFSET($A38,-1,0),0)))))</f>
        <v>8</v>
      </c>
      <c r="N38" s="176" t="str">
        <f ca="1">IF($D38&lt;&gt;"Serviço","",IF(AUTOEVENTO="Manual",IF($A38=0,"&lt;-- defina o número do agrupador",OFFSET(EVENTOS!$D$14,$A38,0)),OFFSET($F$15,$A38,0)))</f>
        <v>Faixa elevada</v>
      </c>
      <c r="O38" s="177"/>
      <c r="Q38" s="177"/>
      <c r="R38" s="178"/>
      <c r="S38" s="178">
        <f>80</f>
        <v>80</v>
      </c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1000000000000</v>
      </c>
      <c r="AN38" s="180">
        <f ca="1">IF($D38&lt;&gt;"Serviço",0,IF(AND(AUTOEVENTO="Manual",$M38=1),0,IF(OFFSET(CRONOPLE!$F$14,$M38,AN$13)="",10^12,OFFSET(CRONOPLE!$F$14,$M38,AN$13))))</f>
        <v>1000000000000</v>
      </c>
      <c r="AO38" s="180">
        <f ca="1">IF($D38&lt;&gt;"Serviço",0,IF(AND(AUTOEVENTO="Manual",$M38=1),0,IF(OFFSET(CRONOPLE!$F$14,$M38,AO$13)="",10^12,OFFSET(CRONOPLE!$F$14,$M38,AO$13))))</f>
        <v>4</v>
      </c>
      <c r="AP38" s="180">
        <f ca="1">IF($D38&lt;&gt;"Serviço",0,IF(AND(AUTOEVENTO="Manual",$M38=1),0,IF(OFFSET(CRONOPLE!$F$14,$M38,AP$13)="",10^12,OFFSET(CRONOPLE!$F$14,$M38,AP$13))))</f>
        <v>1000000000000</v>
      </c>
      <c r="AQ38" s="180">
        <f ca="1">IF($D38&lt;&gt;"Serviço",0,IF(AND(AUTOEVENTO="Manual",$M38=1),0,IF(OFFSET(CRONOPLE!$F$14,$M38,AQ$13)="",10^12,OFFSET(CRONOPLE!$F$14,$M38,AQ$13))))</f>
        <v>1000000000000</v>
      </c>
      <c r="AR38" s="180">
        <f ca="1">IF($D38&lt;&gt;"Serviço",0,IF(AND(AUTOEVENTO="Manual",$M38=1),0,IF(OFFSET(CRONOPLE!$F$14,$M38,AR$13)="",10^12,OFFSET(CRONOPLE!$F$14,$M38,AR$13))))</f>
        <v>1000000000000</v>
      </c>
      <c r="AS38" s="180">
        <f ca="1">IF($D38&lt;&gt;"Serviço",0,IF(AND(AUTOEVENTO="Manual",$M38=1),0,IF(OFFSET(CRONOPLE!$F$14,$M38,AS$13)="",10^12,OFFSET(CRONOPLE!$F$14,$M38,AS$13))))</f>
        <v>1000000000000</v>
      </c>
      <c r="AT38" s="180">
        <f ca="1">IF($D38&lt;&gt;"Serviço",0,IF(AND(AUTOEVENTO="Manual",$M38=1),0,IF(OFFSET(CRONOPLE!$F$14,$M38,AT$13)="",10^12,OFFSET(CRONOPLE!$F$14,$M38,AT$13))))</f>
        <v>1000000000000</v>
      </c>
      <c r="AU38" s="180">
        <f ca="1">IF($D38&lt;&gt;"Serviço",0,IF(AND(AUTOEVENTO="Manual",$M38=1),0,IF(OFFSET(CRONOPLE!$F$14,$M38,AU$13)="",10^12,OFFSET(CRONOPLE!$F$14,$M38,AU$13))))</f>
        <v>1000000000000</v>
      </c>
      <c r="AV38" s="180">
        <f ca="1">IF($D38&lt;&gt;"Serviço",0,IF(AND(AUTOEVENTO="Manual",$M38=1),0,IF(OFFSET(CRONOPLE!$F$14,$M38,AV$13)="",10^12,OFFSET(CRONOPLE!$F$14,$M38,AV$13))))</f>
        <v>1000000000000</v>
      </c>
      <c r="AX38" s="181">
        <f ca="1">IF($D38&lt;&gt;"Serviço",0,IF(OR(AND(AUTOEVENTO="Manual",$M38=1),$M38&gt;(ROW(PLE.lastrow)-ROW(PLE.firstrow))),0,IF(OFFSET(PLE!$G$14,$M38,AX$13)="",10^12,OFFSET(PLE!$G$14,$M38,AX$13))))</f>
        <v>1000000000000</v>
      </c>
      <c r="AY38" s="181">
        <f ca="1">IF($D38&lt;&gt;"Serviço",0,IF(OR(AND(AUTOEVENTO="Manual",$M38=1),$M38&gt;(ROW(PLE.lastrow)-ROW(PLE.firstrow))),0,IF(OFFSET(PLE!$G$14,$M38,AY$13)="",10^12,OFFSET(PLE!$G$14,$M38,AY$13))))</f>
        <v>1000000000000</v>
      </c>
      <c r="AZ38" s="181">
        <f ca="1">IF($D38&lt;&gt;"Serviço",0,IF(OR(AND(AUTOEVENTO="Manual",$M38=1),$M38&gt;(ROW(PLE.lastrow)-ROW(PLE.firstrow))),0,IF(OFFSET(PLE!$G$14,$M38,AZ$13)="",10^12,OFFSET(PLE!$G$14,$M38,AZ$13))))</f>
        <v>1000000000000</v>
      </c>
      <c r="BA38" s="181">
        <f ca="1">IF($D38&lt;&gt;"Serviço",0,IF(OR(AND(AUTOEVENTO="Manual",$M38=1),$M38&gt;(ROW(PLE.lastrow)-ROW(PLE.firstrow))),0,IF(OFFSET(PLE!$G$14,$M38,BA$13)="",10^12,OFFSET(PLE!$G$14,$M38,BA$13))))</f>
        <v>1000000000000</v>
      </c>
      <c r="BB38" s="181">
        <f ca="1">IF($D38&lt;&gt;"Serviço",0,IF(OR(AND(AUTOEVENTO="Manual",$M38=1),$M38&gt;(ROW(PLE.lastrow)-ROW(PLE.firstrow))),0,IF(OFFSET(PLE!$G$14,$M38,BB$13)="",10^12,OFFSET(PLE!$G$14,$M38,BB$13))))</f>
        <v>1000000000000</v>
      </c>
      <c r="BC38" s="181">
        <f ca="1">IF($D38&lt;&gt;"Serviço",0,IF(OR(AND(AUTOEVENTO="Manual",$M38=1),$M38&gt;(ROW(PLE.lastrow)-ROW(PLE.firstrow))),0,IF(OFFSET(PLE!$G$14,$M38,BC$13)="",10^12,OFFSET(PLE!$G$14,$M38,BC$13))))</f>
        <v>1000000000000</v>
      </c>
      <c r="BD38" s="181">
        <f ca="1">IF($D38&lt;&gt;"Serviço",0,IF(OR(AND(AUTOEVENTO="Manual",$M38=1),$M38&gt;(ROW(PLE.lastrow)-ROW(PLE.firstrow))),0,IF(OFFSET(PLE!$G$14,$M38,BD$13)="",10^12,OFFSET(PLE!$G$14,$M38,BD$13))))</f>
        <v>1000000000000</v>
      </c>
      <c r="BE38" s="181">
        <f ca="1">IF($D38&lt;&gt;"Serviço",0,IF(OR(AND(AUTOEVENTO="Manual",$M38=1),$M38&gt;(ROW(PLE.lastrow)-ROW(PLE.firstrow))),0,IF(OFFSET(PLE!$G$14,$M38,BE$13)="",10^12,OFFSET(PLE!$G$14,$M38,BE$13))))</f>
        <v>1000000000000</v>
      </c>
      <c r="BF38" s="181">
        <f ca="1">IF($D38&lt;&gt;"Serviço",0,IF(OR(AND(AUTOEVENTO="Manual",$M38=1),$M38&gt;(ROW(PLE.lastrow)-ROW(PLE.firstrow))),0,IF(OFFSET(PLE!$G$14,$M38,BF$13)="",10^12,OFFSET(PLE!$G$14,$M38,BF$13))))</f>
        <v>1000000000000</v>
      </c>
      <c r="BG38" s="181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s="585" customFormat="1" ht="51" x14ac:dyDescent="0.2">
      <c r="A39" s="7">
        <f t="shared" ca="1" si="8"/>
        <v>8</v>
      </c>
      <c r="B39" s="7" t="str">
        <f ca="1">OFFSET(ORÇAMENTO!C$15,ROW(B39)-ROW(B$15),0)</f>
        <v>S</v>
      </c>
      <c r="C39" s="7" t="str">
        <f ca="1">OFFSET(ORÇAMENTO!L$15,ROW(C39)-ROW(C$15),0)</f>
        <v/>
      </c>
      <c r="D39" s="118" t="str">
        <f ca="1">OFFSET(ORÇAMENTO!N$15,ROW(D39)-ROW(D$15),0)</f>
        <v>Serviço</v>
      </c>
      <c r="E39" s="119" t="str">
        <f ca="1">OFFSET(ORÇAMENTO!O$15,ROW(E39)-ROW(E$15),0)</f>
        <v>-</v>
      </c>
      <c r="F39" s="171" t="str">
        <f ca="1">OFFSET(ORÇAMENTO!R$15,ROW(F39)-ROW(F$15),0)</f>
        <v>(abra o arquivo 'Referência 04-2024.xls)</v>
      </c>
      <c r="G39" s="172" t="str">
        <f ca="1">IF($D39&lt;&gt;"Serviço","",OFFSET(ORÇAMENTO!S$15,ROW(G39)-ROW(G$15),0))</f>
        <v>-</v>
      </c>
      <c r="H39" s="124">
        <f ca="1">IF($D39&lt;&gt;"Serviço",0,IF(ACOMPANHAMENTO="BM",ROUND(OFFSET(ORÇAMENTO!AJ$15,ROW(H39)-ROW(H$15),0),15-13*ORÇAMENTO!$AF$7),SUMPRODUCT(($Q$12:$AA$12&lt;&gt;"")*ROUND($Q39:$AA39,15-13*ORÇAMENTO!$AF$7))))</f>
        <v>26.2</v>
      </c>
      <c r="I39" s="561"/>
      <c r="K39" s="173" t="s">
        <v>518</v>
      </c>
      <c r="L39" s="174" t="s">
        <v>257</v>
      </c>
      <c r="M39" s="175">
        <f ca="1">IF($D39&lt;&gt;"Serviço","",IF(AUTOEVENTO="manual",$A39,IF(ISERROR(MATCH($A39,$A$15:OFFSET($A39,-1,0),0)),MAX($M$15:OFFSET(M39,-1,0))+1,INDEX($M$15:OFFSET(M39,-1,0),MATCH($A39,$A$15:OFFSET($A39,-1,0),0)))))</f>
        <v>8</v>
      </c>
      <c r="N39" s="176" t="str">
        <f ca="1">IF($D39&lt;&gt;"Serviço","",IF(AUTOEVENTO="Manual",IF($A39=0,"&lt;-- defina o número do agrupador",OFFSET(EVENTOS!$D$14,$A39,0)),OFFSET($F$15,$A39,0)))</f>
        <v>Faixa elevada</v>
      </c>
      <c r="O39" s="177"/>
      <c r="Q39" s="177"/>
      <c r="R39" s="178"/>
      <c r="S39" s="178">
        <v>26.2</v>
      </c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1000000000000</v>
      </c>
      <c r="AN39" s="180">
        <f ca="1">IF($D39&lt;&gt;"Serviço",0,IF(AND(AUTOEVENTO="Manual",$M39=1),0,IF(OFFSET(CRONOPLE!$F$14,$M39,AN$13)="",10^12,OFFSET(CRONOPLE!$F$14,$M39,AN$13))))</f>
        <v>1000000000000</v>
      </c>
      <c r="AO39" s="180">
        <f ca="1">IF($D39&lt;&gt;"Serviço",0,IF(AND(AUTOEVENTO="Manual",$M39=1),0,IF(OFFSET(CRONOPLE!$F$14,$M39,AO$13)="",10^12,OFFSET(CRONOPLE!$F$14,$M39,AO$13))))</f>
        <v>4</v>
      </c>
      <c r="AP39" s="180">
        <f ca="1">IF($D39&lt;&gt;"Serviço",0,IF(AND(AUTOEVENTO="Manual",$M39=1),0,IF(OFFSET(CRONOPLE!$F$14,$M39,AP$13)="",10^12,OFFSET(CRONOPLE!$F$14,$M39,AP$13))))</f>
        <v>1000000000000</v>
      </c>
      <c r="AQ39" s="180">
        <f ca="1">IF($D39&lt;&gt;"Serviço",0,IF(AND(AUTOEVENTO="Manual",$M39=1),0,IF(OFFSET(CRONOPLE!$F$14,$M39,AQ$13)="",10^12,OFFSET(CRONOPLE!$F$14,$M39,AQ$13))))</f>
        <v>1000000000000</v>
      </c>
      <c r="AR39" s="180">
        <f ca="1">IF($D39&lt;&gt;"Serviço",0,IF(AND(AUTOEVENTO="Manual",$M39=1),0,IF(OFFSET(CRONOPLE!$F$14,$M39,AR$13)="",10^12,OFFSET(CRONOPLE!$F$14,$M39,AR$13))))</f>
        <v>1000000000000</v>
      </c>
      <c r="AS39" s="180">
        <f ca="1">IF($D39&lt;&gt;"Serviço",0,IF(AND(AUTOEVENTO="Manual",$M39=1),0,IF(OFFSET(CRONOPLE!$F$14,$M39,AS$13)="",10^12,OFFSET(CRONOPLE!$F$14,$M39,AS$13))))</f>
        <v>1000000000000</v>
      </c>
      <c r="AT39" s="180">
        <f ca="1">IF($D39&lt;&gt;"Serviço",0,IF(AND(AUTOEVENTO="Manual",$M39=1),0,IF(OFFSET(CRONOPLE!$F$14,$M39,AT$13)="",10^12,OFFSET(CRONOPLE!$F$14,$M39,AT$13))))</f>
        <v>1000000000000</v>
      </c>
      <c r="AU39" s="180">
        <f ca="1">IF($D39&lt;&gt;"Serviço",0,IF(AND(AUTOEVENTO="Manual",$M39=1),0,IF(OFFSET(CRONOPLE!$F$14,$M39,AU$13)="",10^12,OFFSET(CRONOPLE!$F$14,$M39,AU$13))))</f>
        <v>1000000000000</v>
      </c>
      <c r="AV39" s="180">
        <f ca="1">IF($D39&lt;&gt;"Serviço",0,IF(AND(AUTOEVENTO="Manual",$M39=1),0,IF(OFFSET(CRONOPLE!$F$14,$M39,AV$13)="",10^12,OFFSET(CRONOPLE!$F$14,$M39,AV$13))))</f>
        <v>1000000000000</v>
      </c>
      <c r="AX39" s="181">
        <f ca="1">IF($D39&lt;&gt;"Serviço",0,IF(OR(AND(AUTOEVENTO="Manual",$M39=1),$M39&gt;(ROW(PLE.lastrow)-ROW(PLE.firstrow))),0,IF(OFFSET(PLE!$G$14,$M39,AX$13)="",10^12,OFFSET(PLE!$G$14,$M39,AX$13))))</f>
        <v>1000000000000</v>
      </c>
      <c r="AY39" s="181">
        <f ca="1">IF($D39&lt;&gt;"Serviço",0,IF(OR(AND(AUTOEVENTO="Manual",$M39=1),$M39&gt;(ROW(PLE.lastrow)-ROW(PLE.firstrow))),0,IF(OFFSET(PLE!$G$14,$M39,AY$13)="",10^12,OFFSET(PLE!$G$14,$M39,AY$13))))</f>
        <v>1000000000000</v>
      </c>
      <c r="AZ39" s="181">
        <f ca="1">IF($D39&lt;&gt;"Serviço",0,IF(OR(AND(AUTOEVENTO="Manual",$M39=1),$M39&gt;(ROW(PLE.lastrow)-ROW(PLE.firstrow))),0,IF(OFFSET(PLE!$G$14,$M39,AZ$13)="",10^12,OFFSET(PLE!$G$14,$M39,AZ$13))))</f>
        <v>1000000000000</v>
      </c>
      <c r="BA39" s="181">
        <f ca="1">IF($D39&lt;&gt;"Serviço",0,IF(OR(AND(AUTOEVENTO="Manual",$M39=1),$M39&gt;(ROW(PLE.lastrow)-ROW(PLE.firstrow))),0,IF(OFFSET(PLE!$G$14,$M39,BA$13)="",10^12,OFFSET(PLE!$G$14,$M39,BA$13))))</f>
        <v>1000000000000</v>
      </c>
      <c r="BB39" s="181">
        <f ca="1">IF($D39&lt;&gt;"Serviço",0,IF(OR(AND(AUTOEVENTO="Manual",$M39=1),$M39&gt;(ROW(PLE.lastrow)-ROW(PLE.firstrow))),0,IF(OFFSET(PLE!$G$14,$M39,BB$13)="",10^12,OFFSET(PLE!$G$14,$M39,BB$13))))</f>
        <v>1000000000000</v>
      </c>
      <c r="BC39" s="181">
        <f ca="1">IF($D39&lt;&gt;"Serviço",0,IF(OR(AND(AUTOEVENTO="Manual",$M39=1),$M39&gt;(ROW(PLE.lastrow)-ROW(PLE.firstrow))),0,IF(OFFSET(PLE!$G$14,$M39,BC$13)="",10^12,OFFSET(PLE!$G$14,$M39,BC$13))))</f>
        <v>1000000000000</v>
      </c>
      <c r="BD39" s="181">
        <f ca="1">IF($D39&lt;&gt;"Serviço",0,IF(OR(AND(AUTOEVENTO="Manual",$M39=1),$M39&gt;(ROW(PLE.lastrow)-ROW(PLE.firstrow))),0,IF(OFFSET(PLE!$G$14,$M39,BD$13)="",10^12,OFFSET(PLE!$G$14,$M39,BD$13))))</f>
        <v>1000000000000</v>
      </c>
      <c r="BE39" s="181">
        <f ca="1">IF($D39&lt;&gt;"Serviço",0,IF(OR(AND(AUTOEVENTO="Manual",$M39=1),$M39&gt;(ROW(PLE.lastrow)-ROW(PLE.firstrow))),0,IF(OFFSET(PLE!$G$14,$M39,BE$13)="",10^12,OFFSET(PLE!$G$14,$M39,BE$13))))</f>
        <v>1000000000000</v>
      </c>
      <c r="BF39" s="181">
        <f ca="1">IF($D39&lt;&gt;"Serviço",0,IF(OR(AND(AUTOEVENTO="Manual",$M39=1),$M39&gt;(ROW(PLE.lastrow)-ROW(PLE.firstrow))),0,IF(OFFSET(PLE!$G$14,$M39,BF$13)="",10^12,OFFSET(PLE!$G$14,$M39,BF$13))))</f>
        <v>1000000000000</v>
      </c>
      <c r="BG39" s="181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s="585" customFormat="1" ht="12.75" x14ac:dyDescent="0.2">
      <c r="A40" s="7">
        <f t="shared" ca="1" si="8"/>
        <v>8</v>
      </c>
      <c r="B40" s="7">
        <f ca="1">OFFSET(ORÇAMENTO!C$15,ROW(B40)-ROW(B$15),0)</f>
        <v>2</v>
      </c>
      <c r="C40" s="7" t="str">
        <f ca="1">OFFSET(ORÇAMENTO!L$15,ROW(C40)-ROW(C$15),0)</f>
        <v>F</v>
      </c>
      <c r="D40" s="118" t="str">
        <f ca="1">OFFSET(ORÇAMENTO!N$15,ROW(D40)-ROW(D$15),0)</f>
        <v>Nível 2</v>
      </c>
      <c r="E40" s="119" t="str">
        <f ca="1">OFFSET(ORÇAMENTO!O$15,ROW(E40)-ROW(E$15),0)</f>
        <v>1.7.</v>
      </c>
      <c r="F40" s="171" t="str">
        <f ca="1">OFFSET(ORÇAMENTO!R$15,ROW(F40)-ROW(F$15),0)</f>
        <v>Canaleta de concreto para drenagem</v>
      </c>
      <c r="G40" s="172" t="str">
        <f ca="1">IF($D40&lt;&gt;"Serviço","",OFFSET(ORÇAMENTO!S$15,ROW(G40)-ROW(G$15),0))</f>
        <v/>
      </c>
      <c r="H40" s="124">
        <f ca="1">IF($D40&lt;&gt;"Serviço",0,IF(ACOMPANHAMENTO="BM",ROUND(OFFSET(ORÇAMENTO!AJ$15,ROW(H40)-ROW(H$15),0),15-13*ORÇAMENTO!$AF$7),SUMPRODUCT(($Q$12:$AA$12&lt;&gt;"")*ROUND($Q40:$AA40,15-13*ORÇAMENTO!$AF$7))))</f>
        <v>0</v>
      </c>
      <c r="I40" s="561"/>
      <c r="K40" s="173" t="s">
        <v>518</v>
      </c>
      <c r="L40" s="174" t="s">
        <v>257</v>
      </c>
      <c r="M40" s="175" t="str">
        <f ca="1">IF($D40&lt;&gt;"Serviço","",IF(AUTOEVENTO="manual",$A40,IF(ISERROR(MATCH($A40,$A$15:OFFSET($A40,-1,0),0)),MAX($M$15:OFFSET(M40,-1,0))+1,INDEX($M$15:OFFSET(M40,-1,0),MATCH($A40,$A$15:OFFSET($A40,-1,0),0)))))</f>
        <v/>
      </c>
      <c r="N40" s="176" t="str">
        <f ca="1">IF($D40&lt;&gt;"Serviço","",IF(AUTOEVENTO="Manual",IF($A40=0,"&lt;-- defina o número do agrupador",OFFSET(EVENTOS!$D$14,$A40,0)),OFFSET($F$15,$A40,0)))</f>
        <v/>
      </c>
      <c r="O40" s="177"/>
      <c r="Q40" s="177"/>
      <c r="R40" s="178"/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0</v>
      </c>
      <c r="AN40" s="180">
        <f ca="1">IF($D40&lt;&gt;"Serviço",0,IF(AND(AUTOEVENTO="Manual",$M40=1),0,IF(OFFSET(CRONOPLE!$F$14,$M40,AN$13)="",10^12,OFFSET(CRONOPLE!$F$14,$M40,AN$13))))</f>
        <v>0</v>
      </c>
      <c r="AO40" s="180">
        <f ca="1">IF($D40&lt;&gt;"Serviço",0,IF(AND(AUTOEVENTO="Manual",$M40=1),0,IF(OFFSET(CRONOPLE!$F$14,$M40,AO$13)="",10^12,OFFSET(CRONOPLE!$F$14,$M40,AO$13))))</f>
        <v>0</v>
      </c>
      <c r="AP40" s="180">
        <f ca="1">IF($D40&lt;&gt;"Serviço",0,IF(AND(AUTOEVENTO="Manual",$M40=1),0,IF(OFFSET(CRONOPLE!$F$14,$M40,AP$13)="",10^12,OFFSET(CRONOPLE!$F$14,$M40,AP$13))))</f>
        <v>0</v>
      </c>
      <c r="AQ40" s="180">
        <f ca="1">IF($D40&lt;&gt;"Serviço",0,IF(AND(AUTOEVENTO="Manual",$M40=1),0,IF(OFFSET(CRONOPLE!$F$14,$M40,AQ$13)="",10^12,OFFSET(CRONOPLE!$F$14,$M40,AQ$13))))</f>
        <v>0</v>
      </c>
      <c r="AR40" s="180">
        <f ca="1">IF($D40&lt;&gt;"Serviço",0,IF(AND(AUTOEVENTO="Manual",$M40=1),0,IF(OFFSET(CRONOPLE!$F$14,$M40,AR$13)="",10^12,OFFSET(CRONOPLE!$F$14,$M40,AR$13))))</f>
        <v>0</v>
      </c>
      <c r="AS40" s="180">
        <f ca="1">IF($D40&lt;&gt;"Serviço",0,IF(AND(AUTOEVENTO="Manual",$M40=1),0,IF(OFFSET(CRONOPLE!$F$14,$M40,AS$13)="",10^12,OFFSET(CRONOPLE!$F$14,$M40,AS$13))))</f>
        <v>0</v>
      </c>
      <c r="AT40" s="180">
        <f ca="1">IF($D40&lt;&gt;"Serviço",0,IF(AND(AUTOEVENTO="Manual",$M40=1),0,IF(OFFSET(CRONOPLE!$F$14,$M40,AT$13)="",10^12,OFFSET(CRONOPLE!$F$14,$M40,AT$13))))</f>
        <v>0</v>
      </c>
      <c r="AU40" s="180">
        <f ca="1">IF($D40&lt;&gt;"Serviço",0,IF(AND(AUTOEVENTO="Manual",$M40=1),0,IF(OFFSET(CRONOPLE!$F$14,$M40,AU$13)="",10^12,OFFSET(CRONOPLE!$F$14,$M40,AU$13))))</f>
        <v>0</v>
      </c>
      <c r="AV40" s="180">
        <f ca="1">IF($D40&lt;&gt;"Serviço",0,IF(AND(AUTOEVENTO="Manual",$M40=1),0,IF(OFFSET(CRONOPLE!$F$14,$M40,AV$13)="",10^12,OFFSET(CRONOPLE!$F$14,$M40,AV$13))))</f>
        <v>0</v>
      </c>
      <c r="AX40" s="181">
        <f ca="1">IF($D40&lt;&gt;"Serviço",0,IF(OR(AND(AUTOEVENTO="Manual",$M40=1),$M40&gt;(ROW(PLE.lastrow)-ROW(PLE.firstrow))),0,IF(OFFSET(PLE!$G$14,$M40,AX$13)="",10^12,OFFSET(PLE!$G$14,$M40,AX$13))))</f>
        <v>0</v>
      </c>
      <c r="AY40" s="181">
        <f ca="1">IF($D40&lt;&gt;"Serviço",0,IF(OR(AND(AUTOEVENTO="Manual",$M40=1),$M40&gt;(ROW(PLE.lastrow)-ROW(PLE.firstrow))),0,IF(OFFSET(PLE!$G$14,$M40,AY$13)="",10^12,OFFSET(PLE!$G$14,$M40,AY$13))))</f>
        <v>0</v>
      </c>
      <c r="AZ40" s="181">
        <f ca="1">IF($D40&lt;&gt;"Serviço",0,IF(OR(AND(AUTOEVENTO="Manual",$M40=1),$M40&gt;(ROW(PLE.lastrow)-ROW(PLE.firstrow))),0,IF(OFFSET(PLE!$G$14,$M40,AZ$13)="",10^12,OFFSET(PLE!$G$14,$M40,AZ$13))))</f>
        <v>0</v>
      </c>
      <c r="BA40" s="181">
        <f ca="1">IF($D40&lt;&gt;"Serviço",0,IF(OR(AND(AUTOEVENTO="Manual",$M40=1),$M40&gt;(ROW(PLE.lastrow)-ROW(PLE.firstrow))),0,IF(OFFSET(PLE!$G$14,$M40,BA$13)="",10^12,OFFSET(PLE!$G$14,$M40,BA$13))))</f>
        <v>0</v>
      </c>
      <c r="BB40" s="181">
        <f ca="1">IF($D40&lt;&gt;"Serviço",0,IF(OR(AND(AUTOEVENTO="Manual",$M40=1),$M40&gt;(ROW(PLE.lastrow)-ROW(PLE.firstrow))),0,IF(OFFSET(PLE!$G$14,$M40,BB$13)="",10^12,OFFSET(PLE!$G$14,$M40,BB$13))))</f>
        <v>0</v>
      </c>
      <c r="BC40" s="181">
        <f ca="1">IF($D40&lt;&gt;"Serviço",0,IF(OR(AND(AUTOEVENTO="Manual",$M40=1),$M40&gt;(ROW(PLE.lastrow)-ROW(PLE.firstrow))),0,IF(OFFSET(PLE!$G$14,$M40,BC$13)="",10^12,OFFSET(PLE!$G$14,$M40,BC$13))))</f>
        <v>0</v>
      </c>
      <c r="BD40" s="181">
        <f ca="1">IF($D40&lt;&gt;"Serviço",0,IF(OR(AND(AUTOEVENTO="Manual",$M40=1),$M40&gt;(ROW(PLE.lastrow)-ROW(PLE.firstrow))),0,IF(OFFSET(PLE!$G$14,$M40,BD$13)="",10^12,OFFSET(PLE!$G$14,$M40,BD$13))))</f>
        <v>0</v>
      </c>
      <c r="BE40" s="181">
        <f ca="1">IF($D40&lt;&gt;"Serviço",0,IF(OR(AND(AUTOEVENTO="Manual",$M40=1),$M40&gt;(ROW(PLE.lastrow)-ROW(PLE.firstrow))),0,IF(OFFSET(PLE!$G$14,$M40,BE$13)="",10^12,OFFSET(PLE!$G$14,$M40,BE$13))))</f>
        <v>0</v>
      </c>
      <c r="BF40" s="181">
        <f ca="1">IF($D40&lt;&gt;"Serviço",0,IF(OR(AND(AUTOEVENTO="Manual",$M40=1),$M40&gt;(ROW(PLE.lastrow)-ROW(PLE.firstrow))),0,IF(OFFSET(PLE!$G$14,$M40,BF$13)="",10^12,OFFSET(PLE!$G$14,$M40,BF$13))))</f>
        <v>0</v>
      </c>
      <c r="BG40" s="181">
        <f ca="1">IF($D40&lt;&gt;"Serviço",0,IF(OR(AND(AUTOEVENTO="Manual",$M40=1),$M40&gt;(ROW(PLE.lastrow)-ROW(PLE.firstrow))),0,IF(OFFSET(PLE!$G$14,$M40,BG$13)="",10^12,OFFSET(PLE!$G$14,$M40,BG$13))))</f>
        <v>0</v>
      </c>
    </row>
    <row r="41" spans="1:59" s="585" customFormat="1" ht="51" x14ac:dyDescent="0.2">
      <c r="A41" s="7">
        <f t="shared" ca="1" si="8"/>
        <v>8</v>
      </c>
      <c r="B41" s="7" t="str">
        <f ca="1">OFFSET(ORÇAMENTO!C$15,ROW(B41)-ROW(B$15),0)</f>
        <v>S</v>
      </c>
      <c r="C41" s="7" t="str">
        <f ca="1">OFFSET(ORÇAMENTO!L$15,ROW(C41)-ROW(C$15),0)</f>
        <v/>
      </c>
      <c r="D41" s="118" t="str">
        <f ca="1">OFFSET(ORÇAMENTO!N$15,ROW(D41)-ROW(D$15),0)</f>
        <v>Serviço</v>
      </c>
      <c r="E41" s="119" t="str">
        <f ca="1">OFFSET(ORÇAMENTO!O$15,ROW(E41)-ROW(E$15),0)</f>
        <v>-</v>
      </c>
      <c r="F41" s="171" t="str">
        <f ca="1">OFFSET(ORÇAMENTO!R$15,ROW(F41)-ROW(F$15),0)</f>
        <v>(abra o arquivo 'Referência 04-2024.xls)</v>
      </c>
      <c r="G41" s="172" t="str">
        <f ca="1">IF($D41&lt;&gt;"Serviço","",OFFSET(ORÇAMENTO!S$15,ROW(G41)-ROW(G$15),0))</f>
        <v>-</v>
      </c>
      <c r="H41" s="124">
        <f ca="1">IF($D41&lt;&gt;"Serviço",0,IF(ACOMPANHAMENTO="BM",ROUND(OFFSET(ORÇAMENTO!AJ$15,ROW(H41)-ROW(H$15),0),15-13*ORÇAMENTO!$AF$7),SUMPRODUCT(($Q$12:$AA$12&lt;&gt;"")*ROUND($Q41:$AA41,15-13*ORÇAMENTO!$AF$7))))</f>
        <v>10</v>
      </c>
      <c r="I41" s="561"/>
      <c r="K41" s="173" t="s">
        <v>518</v>
      </c>
      <c r="L41" s="174" t="s">
        <v>257</v>
      </c>
      <c r="M41" s="175">
        <f ca="1">IF($D41&lt;&gt;"Serviço","",IF(AUTOEVENTO="manual",$A41,IF(ISERROR(MATCH($A41,$A$15:OFFSET($A41,-1,0),0)),MAX($M$15:OFFSET(M41,-1,0))+1,INDEX($M$15:OFFSET(M41,-1,0),MATCH($A41,$A$15:OFFSET($A41,-1,0),0)))))</f>
        <v>8</v>
      </c>
      <c r="N41" s="176" t="str">
        <f ca="1">IF($D41&lt;&gt;"Serviço","",IF(AUTOEVENTO="Manual",IF($A41=0,"&lt;-- defina o número do agrupador",OFFSET(EVENTOS!$D$14,$A41,0)),OFFSET($F$15,$A41,0)))</f>
        <v>Faixa elevada</v>
      </c>
      <c r="O41" s="177"/>
      <c r="Q41" s="177"/>
      <c r="R41" s="178"/>
      <c r="S41" s="178">
        <v>10</v>
      </c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1000000000000</v>
      </c>
      <c r="AN41" s="180">
        <f ca="1">IF($D41&lt;&gt;"Serviço",0,IF(AND(AUTOEVENTO="Manual",$M41=1),0,IF(OFFSET(CRONOPLE!$F$14,$M41,AN$13)="",10^12,OFFSET(CRONOPLE!$F$14,$M41,AN$13))))</f>
        <v>1000000000000</v>
      </c>
      <c r="AO41" s="180">
        <f ca="1">IF($D41&lt;&gt;"Serviço",0,IF(AND(AUTOEVENTO="Manual",$M41=1),0,IF(OFFSET(CRONOPLE!$F$14,$M41,AO$13)="",10^12,OFFSET(CRONOPLE!$F$14,$M41,AO$13))))</f>
        <v>4</v>
      </c>
      <c r="AP41" s="180">
        <f ca="1">IF($D41&lt;&gt;"Serviço",0,IF(AND(AUTOEVENTO="Manual",$M41=1),0,IF(OFFSET(CRONOPLE!$F$14,$M41,AP$13)="",10^12,OFFSET(CRONOPLE!$F$14,$M41,AP$13))))</f>
        <v>1000000000000</v>
      </c>
      <c r="AQ41" s="180">
        <f ca="1">IF($D41&lt;&gt;"Serviço",0,IF(AND(AUTOEVENTO="Manual",$M41=1),0,IF(OFFSET(CRONOPLE!$F$14,$M41,AQ$13)="",10^12,OFFSET(CRONOPLE!$F$14,$M41,AQ$13))))</f>
        <v>1000000000000</v>
      </c>
      <c r="AR41" s="180">
        <f ca="1">IF($D41&lt;&gt;"Serviço",0,IF(AND(AUTOEVENTO="Manual",$M41=1),0,IF(OFFSET(CRONOPLE!$F$14,$M41,AR$13)="",10^12,OFFSET(CRONOPLE!$F$14,$M41,AR$13))))</f>
        <v>1000000000000</v>
      </c>
      <c r="AS41" s="180">
        <f ca="1">IF($D41&lt;&gt;"Serviço",0,IF(AND(AUTOEVENTO="Manual",$M41=1),0,IF(OFFSET(CRONOPLE!$F$14,$M41,AS$13)="",10^12,OFFSET(CRONOPLE!$F$14,$M41,AS$13))))</f>
        <v>1000000000000</v>
      </c>
      <c r="AT41" s="180">
        <f ca="1">IF($D41&lt;&gt;"Serviço",0,IF(AND(AUTOEVENTO="Manual",$M41=1),0,IF(OFFSET(CRONOPLE!$F$14,$M41,AT$13)="",10^12,OFFSET(CRONOPLE!$F$14,$M41,AT$13))))</f>
        <v>1000000000000</v>
      </c>
      <c r="AU41" s="180">
        <f ca="1">IF($D41&lt;&gt;"Serviço",0,IF(AND(AUTOEVENTO="Manual",$M41=1),0,IF(OFFSET(CRONOPLE!$F$14,$M41,AU$13)="",10^12,OFFSET(CRONOPLE!$F$14,$M41,AU$13))))</f>
        <v>1000000000000</v>
      </c>
      <c r="AV41" s="180">
        <f ca="1">IF($D41&lt;&gt;"Serviço",0,IF(AND(AUTOEVENTO="Manual",$M41=1),0,IF(OFFSET(CRONOPLE!$F$14,$M41,AV$13)="",10^12,OFFSET(CRONOPLE!$F$14,$M41,AV$13))))</f>
        <v>1000000000000</v>
      </c>
      <c r="AX41" s="181">
        <f ca="1">IF($D41&lt;&gt;"Serviço",0,IF(OR(AND(AUTOEVENTO="Manual",$M41=1),$M41&gt;(ROW(PLE.lastrow)-ROW(PLE.firstrow))),0,IF(OFFSET(PLE!$G$14,$M41,AX$13)="",10^12,OFFSET(PLE!$G$14,$M41,AX$13))))</f>
        <v>1000000000000</v>
      </c>
      <c r="AY41" s="181">
        <f ca="1">IF($D41&lt;&gt;"Serviço",0,IF(OR(AND(AUTOEVENTO="Manual",$M41=1),$M41&gt;(ROW(PLE.lastrow)-ROW(PLE.firstrow))),0,IF(OFFSET(PLE!$G$14,$M41,AY$13)="",10^12,OFFSET(PLE!$G$14,$M41,AY$13))))</f>
        <v>1000000000000</v>
      </c>
      <c r="AZ41" s="181">
        <f ca="1">IF($D41&lt;&gt;"Serviço",0,IF(OR(AND(AUTOEVENTO="Manual",$M41=1),$M41&gt;(ROW(PLE.lastrow)-ROW(PLE.firstrow))),0,IF(OFFSET(PLE!$G$14,$M41,AZ$13)="",10^12,OFFSET(PLE!$G$14,$M41,AZ$13))))</f>
        <v>1000000000000</v>
      </c>
      <c r="BA41" s="181">
        <f ca="1">IF($D41&lt;&gt;"Serviço",0,IF(OR(AND(AUTOEVENTO="Manual",$M41=1),$M41&gt;(ROW(PLE.lastrow)-ROW(PLE.firstrow))),0,IF(OFFSET(PLE!$G$14,$M41,BA$13)="",10^12,OFFSET(PLE!$G$14,$M41,BA$13))))</f>
        <v>1000000000000</v>
      </c>
      <c r="BB41" s="181">
        <f ca="1">IF($D41&lt;&gt;"Serviço",0,IF(OR(AND(AUTOEVENTO="Manual",$M41=1),$M41&gt;(ROW(PLE.lastrow)-ROW(PLE.firstrow))),0,IF(OFFSET(PLE!$G$14,$M41,BB$13)="",10^12,OFFSET(PLE!$G$14,$M41,BB$13))))</f>
        <v>1000000000000</v>
      </c>
      <c r="BC41" s="181">
        <f ca="1">IF($D41&lt;&gt;"Serviço",0,IF(OR(AND(AUTOEVENTO="Manual",$M41=1),$M41&gt;(ROW(PLE.lastrow)-ROW(PLE.firstrow))),0,IF(OFFSET(PLE!$G$14,$M41,BC$13)="",10^12,OFFSET(PLE!$G$14,$M41,BC$13))))</f>
        <v>1000000000000</v>
      </c>
      <c r="BD41" s="181">
        <f ca="1">IF($D41&lt;&gt;"Serviço",0,IF(OR(AND(AUTOEVENTO="Manual",$M41=1),$M41&gt;(ROW(PLE.lastrow)-ROW(PLE.firstrow))),0,IF(OFFSET(PLE!$G$14,$M41,BD$13)="",10^12,OFFSET(PLE!$G$14,$M41,BD$13))))</f>
        <v>1000000000000</v>
      </c>
      <c r="BE41" s="181">
        <f ca="1">IF($D41&lt;&gt;"Serviço",0,IF(OR(AND(AUTOEVENTO="Manual",$M41=1),$M41&gt;(ROW(PLE.lastrow)-ROW(PLE.firstrow))),0,IF(OFFSET(PLE!$G$14,$M41,BE$13)="",10^12,OFFSET(PLE!$G$14,$M41,BE$13))))</f>
        <v>1000000000000</v>
      </c>
      <c r="BF41" s="181">
        <f ca="1">IF($D41&lt;&gt;"Serviço",0,IF(OR(AND(AUTOEVENTO="Manual",$M41=1),$M41&gt;(ROW(PLE.lastrow)-ROW(PLE.firstrow))),0,IF(OFFSET(PLE!$G$14,$M41,BF$13)="",10^12,OFFSET(PLE!$G$14,$M41,BF$13))))</f>
        <v>1000000000000</v>
      </c>
      <c r="BG41" s="181">
        <f ca="1">IF($D41&lt;&gt;"Serviço",0,IF(OR(AND(AUTOEVENTO="Manual",$M41=1),$M41&gt;(ROW(PLE.lastrow)-ROW(PLE.firstrow))),0,IF(OFFSET(PLE!$G$14,$M41,BG$13)="",10^12,OFFSET(PLE!$G$14,$M41,BG$13))))</f>
        <v>1000000000000</v>
      </c>
    </row>
    <row r="42" spans="1:59" s="585" customFormat="1" ht="38.25" x14ac:dyDescent="0.2">
      <c r="A42" s="7">
        <f t="shared" ca="1" si="8"/>
        <v>8</v>
      </c>
      <c r="B42" s="7" t="str">
        <f ca="1">OFFSET(ORÇAMENTO!C$15,ROW(B42)-ROW(B$15),0)</f>
        <v>S</v>
      </c>
      <c r="C42" s="7" t="str">
        <f ca="1">OFFSET(ORÇAMENTO!L$15,ROW(C42)-ROW(C$15),0)</f>
        <v/>
      </c>
      <c r="D42" s="118" t="str">
        <f ca="1">OFFSET(ORÇAMENTO!N$15,ROW(D42)-ROW(D$15),0)</f>
        <v>Serviço</v>
      </c>
      <c r="E42" s="119" t="str">
        <f ca="1">OFFSET(ORÇAMENTO!O$15,ROW(E42)-ROW(E$15),0)</f>
        <v>-</v>
      </c>
      <c r="F42" s="171" t="str">
        <f ca="1">OFFSET(ORÇAMENTO!R$15,ROW(F42)-ROW(F$15),0)</f>
        <v>(abra o arquivo 'Referência 04-2024.xls)</v>
      </c>
      <c r="G42" s="172" t="str">
        <f ca="1">IF($D42&lt;&gt;"Serviço","",OFFSET(ORÇAMENTO!S$15,ROW(G42)-ROW(G$15),0))</f>
        <v>-</v>
      </c>
      <c r="H42" s="124">
        <f ca="1">IF($D42&lt;&gt;"Serviço",0,IF(ACOMPANHAMENTO="BM",ROUND(OFFSET(ORÇAMENTO!AJ$15,ROW(H42)-ROW(H$15),0),15-13*ORÇAMENTO!$AF$7),SUMPRODUCT(($Q$12:$AA$12&lt;&gt;"")*ROUND($Q42:$AA42,15-13*ORÇAMENTO!$AF$7))))</f>
        <v>2</v>
      </c>
      <c r="I42" s="561"/>
      <c r="K42" s="173" t="s">
        <v>518</v>
      </c>
      <c r="L42" s="174" t="s">
        <v>257</v>
      </c>
      <c r="M42" s="175">
        <f ca="1">IF($D42&lt;&gt;"Serviço","",IF(AUTOEVENTO="manual",$A42,IF(ISERROR(MATCH($A42,$A$15:OFFSET($A42,-1,0),0)),MAX($M$15:OFFSET(M42,-1,0))+1,INDEX($M$15:OFFSET(M42,-1,0),MATCH($A42,$A$15:OFFSET($A42,-1,0),0)))))</f>
        <v>8</v>
      </c>
      <c r="N42" s="176" t="str">
        <f ca="1">IF($D42&lt;&gt;"Serviço","",IF(AUTOEVENTO="Manual",IF($A42=0,"&lt;-- defina o número do agrupador",OFFSET(EVENTOS!$D$14,$A42,0)),OFFSET($F$15,$A42,0)))</f>
        <v>Faixa elevada</v>
      </c>
      <c r="O42" s="177"/>
      <c r="Q42" s="177"/>
      <c r="R42" s="178"/>
      <c r="S42" s="178">
        <v>2</v>
      </c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1000000000000</v>
      </c>
      <c r="AN42" s="180">
        <f ca="1">IF($D42&lt;&gt;"Serviço",0,IF(AND(AUTOEVENTO="Manual",$M42=1),0,IF(OFFSET(CRONOPLE!$F$14,$M42,AN$13)="",10^12,OFFSET(CRONOPLE!$F$14,$M42,AN$13))))</f>
        <v>1000000000000</v>
      </c>
      <c r="AO42" s="180">
        <f ca="1">IF($D42&lt;&gt;"Serviço",0,IF(AND(AUTOEVENTO="Manual",$M42=1),0,IF(OFFSET(CRONOPLE!$F$14,$M42,AO$13)="",10^12,OFFSET(CRONOPLE!$F$14,$M42,AO$13))))</f>
        <v>4</v>
      </c>
      <c r="AP42" s="180">
        <f ca="1">IF($D42&lt;&gt;"Serviço",0,IF(AND(AUTOEVENTO="Manual",$M42=1),0,IF(OFFSET(CRONOPLE!$F$14,$M42,AP$13)="",10^12,OFFSET(CRONOPLE!$F$14,$M42,AP$13))))</f>
        <v>1000000000000</v>
      </c>
      <c r="AQ42" s="180">
        <f ca="1">IF($D42&lt;&gt;"Serviço",0,IF(AND(AUTOEVENTO="Manual",$M42=1),0,IF(OFFSET(CRONOPLE!$F$14,$M42,AQ$13)="",10^12,OFFSET(CRONOPLE!$F$14,$M42,AQ$13))))</f>
        <v>1000000000000</v>
      </c>
      <c r="AR42" s="180">
        <f ca="1">IF($D42&lt;&gt;"Serviço",0,IF(AND(AUTOEVENTO="Manual",$M42=1),0,IF(OFFSET(CRONOPLE!$F$14,$M42,AR$13)="",10^12,OFFSET(CRONOPLE!$F$14,$M42,AR$13))))</f>
        <v>1000000000000</v>
      </c>
      <c r="AS42" s="180">
        <f ca="1">IF($D42&lt;&gt;"Serviço",0,IF(AND(AUTOEVENTO="Manual",$M42=1),0,IF(OFFSET(CRONOPLE!$F$14,$M42,AS$13)="",10^12,OFFSET(CRONOPLE!$F$14,$M42,AS$13))))</f>
        <v>1000000000000</v>
      </c>
      <c r="AT42" s="180">
        <f ca="1">IF($D42&lt;&gt;"Serviço",0,IF(AND(AUTOEVENTO="Manual",$M42=1),0,IF(OFFSET(CRONOPLE!$F$14,$M42,AT$13)="",10^12,OFFSET(CRONOPLE!$F$14,$M42,AT$13))))</f>
        <v>1000000000000</v>
      </c>
      <c r="AU42" s="180">
        <f ca="1">IF($D42&lt;&gt;"Serviço",0,IF(AND(AUTOEVENTO="Manual",$M42=1),0,IF(OFFSET(CRONOPLE!$F$14,$M42,AU$13)="",10^12,OFFSET(CRONOPLE!$F$14,$M42,AU$13))))</f>
        <v>1000000000000</v>
      </c>
      <c r="AV42" s="180">
        <f ca="1">IF($D42&lt;&gt;"Serviço",0,IF(AND(AUTOEVENTO="Manual",$M42=1),0,IF(OFFSET(CRONOPLE!$F$14,$M42,AV$13)="",10^12,OFFSET(CRONOPLE!$F$14,$M42,AV$13))))</f>
        <v>1000000000000</v>
      </c>
      <c r="AX42" s="181">
        <f ca="1">IF($D42&lt;&gt;"Serviço",0,IF(OR(AND(AUTOEVENTO="Manual",$M42=1),$M42&gt;(ROW(PLE.lastrow)-ROW(PLE.firstrow))),0,IF(OFFSET(PLE!$G$14,$M42,AX$13)="",10^12,OFFSET(PLE!$G$14,$M42,AX$13))))</f>
        <v>1000000000000</v>
      </c>
      <c r="AY42" s="181">
        <f ca="1">IF($D42&lt;&gt;"Serviço",0,IF(OR(AND(AUTOEVENTO="Manual",$M42=1),$M42&gt;(ROW(PLE.lastrow)-ROW(PLE.firstrow))),0,IF(OFFSET(PLE!$G$14,$M42,AY$13)="",10^12,OFFSET(PLE!$G$14,$M42,AY$13))))</f>
        <v>1000000000000</v>
      </c>
      <c r="AZ42" s="181">
        <f ca="1">IF($D42&lt;&gt;"Serviço",0,IF(OR(AND(AUTOEVENTO="Manual",$M42=1),$M42&gt;(ROW(PLE.lastrow)-ROW(PLE.firstrow))),0,IF(OFFSET(PLE!$G$14,$M42,AZ$13)="",10^12,OFFSET(PLE!$G$14,$M42,AZ$13))))</f>
        <v>1000000000000</v>
      </c>
      <c r="BA42" s="181">
        <f ca="1">IF($D42&lt;&gt;"Serviço",0,IF(OR(AND(AUTOEVENTO="Manual",$M42=1),$M42&gt;(ROW(PLE.lastrow)-ROW(PLE.firstrow))),0,IF(OFFSET(PLE!$G$14,$M42,BA$13)="",10^12,OFFSET(PLE!$G$14,$M42,BA$13))))</f>
        <v>1000000000000</v>
      </c>
      <c r="BB42" s="181">
        <f ca="1">IF($D42&lt;&gt;"Serviço",0,IF(OR(AND(AUTOEVENTO="Manual",$M42=1),$M42&gt;(ROW(PLE.lastrow)-ROW(PLE.firstrow))),0,IF(OFFSET(PLE!$G$14,$M42,BB$13)="",10^12,OFFSET(PLE!$G$14,$M42,BB$13))))</f>
        <v>1000000000000</v>
      </c>
      <c r="BC42" s="181">
        <f ca="1">IF($D42&lt;&gt;"Serviço",0,IF(OR(AND(AUTOEVENTO="Manual",$M42=1),$M42&gt;(ROW(PLE.lastrow)-ROW(PLE.firstrow))),0,IF(OFFSET(PLE!$G$14,$M42,BC$13)="",10^12,OFFSET(PLE!$G$14,$M42,BC$13))))</f>
        <v>1000000000000</v>
      </c>
      <c r="BD42" s="181">
        <f ca="1">IF($D42&lt;&gt;"Serviço",0,IF(OR(AND(AUTOEVENTO="Manual",$M42=1),$M42&gt;(ROW(PLE.lastrow)-ROW(PLE.firstrow))),0,IF(OFFSET(PLE!$G$14,$M42,BD$13)="",10^12,OFFSET(PLE!$G$14,$M42,BD$13))))</f>
        <v>1000000000000</v>
      </c>
      <c r="BE42" s="181">
        <f ca="1">IF($D42&lt;&gt;"Serviço",0,IF(OR(AND(AUTOEVENTO="Manual",$M42=1),$M42&gt;(ROW(PLE.lastrow)-ROW(PLE.firstrow))),0,IF(OFFSET(PLE!$G$14,$M42,BE$13)="",10^12,OFFSET(PLE!$G$14,$M42,BE$13))))</f>
        <v>1000000000000</v>
      </c>
      <c r="BF42" s="181">
        <f ca="1">IF($D42&lt;&gt;"Serviço",0,IF(OR(AND(AUTOEVENTO="Manual",$M42=1),$M42&gt;(ROW(PLE.lastrow)-ROW(PLE.firstrow))),0,IF(OFFSET(PLE!$G$14,$M42,BF$13)="",10^12,OFFSET(PLE!$G$14,$M42,BF$13))))</f>
        <v>1000000000000</v>
      </c>
      <c r="BG42" s="181">
        <f ca="1">IF($D42&lt;&gt;"Serviço",0,IF(OR(AND(AUTOEVENTO="Manual",$M42=1),$M42&gt;(ROW(PLE.lastrow)-ROW(PLE.firstrow))),0,IF(OFFSET(PLE!$G$14,$M42,BG$13)="",10^12,OFFSET(PLE!$G$14,$M42,BG$13))))</f>
        <v>1000000000000</v>
      </c>
    </row>
    <row r="43" spans="1:59" ht="12.75" x14ac:dyDescent="0.2">
      <c r="A43" s="7">
        <f t="shared" ca="1" si="8"/>
        <v>6</v>
      </c>
      <c r="B43" s="7">
        <f ca="1">OFFSET(ORÇAMENTO!C$15,ROW(B43)-ROW(B$15),0)</f>
        <v>2</v>
      </c>
      <c r="C43" s="7" t="str">
        <f ca="1">OFFSET(ORÇAMENTO!L$15,ROW(C43)-ROW(C$15),0)</f>
        <v>F</v>
      </c>
      <c r="D43" s="118" t="str">
        <f ca="1">OFFSET(ORÇAMENTO!N$15,ROW(D43)-ROW(D$15),0)</f>
        <v>Nível 2</v>
      </c>
      <c r="E43" s="119" t="str">
        <f ca="1">OFFSET(ORÇAMENTO!O$15,ROW(E43)-ROW(E$15),0)</f>
        <v>1.8.</v>
      </c>
      <c r="F43" s="171" t="str">
        <f ca="1">OFFSET(ORÇAMENTO!R$15,ROW(F43)-ROW(F$15),0)</f>
        <v>PASSEIO PÚBLICO</v>
      </c>
      <c r="G43" s="172" t="str">
        <f ca="1">IF($D43&lt;&gt;"Serviço","",OFFSET(ORÇAMENTO!S$15,ROW(G43)-ROW(G$15),0))</f>
        <v/>
      </c>
      <c r="H43" s="124">
        <f ca="1">IF($D43&lt;&gt;"Serviço",0,IF(ACOMPANHAMENTO="BM",ROUND(OFFSET(ORÇAMENTO!AJ$15,ROW(H43)-ROW(H$15),0),15-13*ORÇAMENTO!$AF$7),SUMPRODUCT(($Q$12:$AA$12&lt;&gt;"")*ROUND($Q43:$AA43,15-13*ORÇAMENTO!$AF$7))))</f>
        <v>0</v>
      </c>
      <c r="I43" s="561"/>
      <c r="K43" s="173" t="s">
        <v>506</v>
      </c>
      <c r="L43" s="174" t="s">
        <v>257</v>
      </c>
      <c r="M43" s="175" t="str">
        <f ca="1">IF($D43&lt;&gt;"Serviço","",IF(AUTOEVENTO="manual",$A43,IF(ISERROR(MATCH($A43,$A$15:OFFSET($A43,-1,0),0)),MAX($M$15:OFFSET(M43,-1,0))+1,INDEX($M$15:OFFSET(M43,-1,0),MATCH($A43,$A$15:OFFSET($A43,-1,0),0)))))</f>
        <v/>
      </c>
      <c r="N43" s="176" t="str">
        <f ca="1">IF($D43&lt;&gt;"Serviço","",IF(AUTOEVENTO="Manual",IF($A43=0,"&lt;-- defina o número do agrupador",OFFSET(EVENTOS!$D$14,$A43,0)),OFFSET($F$15,$A43,0)))</f>
        <v/>
      </c>
      <c r="O43" s="177"/>
      <c r="Q43" s="177"/>
      <c r="R43" s="178"/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0</v>
      </c>
      <c r="AN43" s="180">
        <f ca="1">IF($D43&lt;&gt;"Serviço",0,IF(AND(AUTOEVENTO="Manual",$M43=1),0,IF(OFFSET(CRONOPLE!$F$14,$M43,AN$13)="",10^12,OFFSET(CRONOPLE!$F$14,$M43,AN$13))))</f>
        <v>0</v>
      </c>
      <c r="AO43" s="180">
        <f ca="1">IF($D43&lt;&gt;"Serviço",0,IF(AND(AUTOEVENTO="Manual",$M43=1),0,IF(OFFSET(CRONOPLE!$F$14,$M43,AO$13)="",10^12,OFFSET(CRONOPLE!$F$14,$M43,AO$13))))</f>
        <v>0</v>
      </c>
      <c r="AP43" s="180">
        <f ca="1">IF($D43&lt;&gt;"Serviço",0,IF(AND(AUTOEVENTO="Manual",$M43=1),0,IF(OFFSET(CRONOPLE!$F$14,$M43,AP$13)="",10^12,OFFSET(CRONOPLE!$F$14,$M43,AP$13))))</f>
        <v>0</v>
      </c>
      <c r="AQ43" s="180">
        <f ca="1">IF($D43&lt;&gt;"Serviço",0,IF(AND(AUTOEVENTO="Manual",$M43=1),0,IF(OFFSET(CRONOPLE!$F$14,$M43,AQ$13)="",10^12,OFFSET(CRONOPLE!$F$14,$M43,AQ$13))))</f>
        <v>0</v>
      </c>
      <c r="AR43" s="180">
        <f ca="1">IF($D43&lt;&gt;"Serviço",0,IF(AND(AUTOEVENTO="Manual",$M43=1),0,IF(OFFSET(CRONOPLE!$F$14,$M43,AR$13)="",10^12,OFFSET(CRONOPLE!$F$14,$M43,AR$13))))</f>
        <v>0</v>
      </c>
      <c r="AS43" s="180">
        <f ca="1">IF($D43&lt;&gt;"Serviço",0,IF(AND(AUTOEVENTO="Manual",$M43=1),0,IF(OFFSET(CRONOPLE!$F$14,$M43,AS$13)="",10^12,OFFSET(CRONOPLE!$F$14,$M43,AS$13))))</f>
        <v>0</v>
      </c>
      <c r="AT43" s="180">
        <f ca="1">IF($D43&lt;&gt;"Serviço",0,IF(AND(AUTOEVENTO="Manual",$M43=1),0,IF(OFFSET(CRONOPLE!$F$14,$M43,AT$13)="",10^12,OFFSET(CRONOPLE!$F$14,$M43,AT$13))))</f>
        <v>0</v>
      </c>
      <c r="AU43" s="180">
        <f ca="1">IF($D43&lt;&gt;"Serviço",0,IF(AND(AUTOEVENTO="Manual",$M43=1),0,IF(OFFSET(CRONOPLE!$F$14,$M43,AU$13)="",10^12,OFFSET(CRONOPLE!$F$14,$M43,AU$13))))</f>
        <v>0</v>
      </c>
      <c r="AV43" s="180">
        <f ca="1">IF($D43&lt;&gt;"Serviço",0,IF(AND(AUTOEVENTO="Manual",$M43=1),0,IF(OFFSET(CRONOPLE!$F$14,$M43,AV$13)="",10^12,OFFSET(CRONOPLE!$F$14,$M43,AV$13))))</f>
        <v>0</v>
      </c>
      <c r="AX43" s="181">
        <f ca="1">IF($D43&lt;&gt;"Serviço",0,IF(OR(AND(AUTOEVENTO="Manual",$M43=1),$M43&gt;(ROW(PLE.lastrow)-ROW(PLE.firstrow))),0,IF(OFFSET(PLE!$G$14,$M43,AX$13)="",10^12,OFFSET(PLE!$G$14,$M43,AX$13))))</f>
        <v>0</v>
      </c>
      <c r="AY43" s="181">
        <f ca="1">IF($D43&lt;&gt;"Serviço",0,IF(OR(AND(AUTOEVENTO="Manual",$M43=1),$M43&gt;(ROW(PLE.lastrow)-ROW(PLE.firstrow))),0,IF(OFFSET(PLE!$G$14,$M43,AY$13)="",10^12,OFFSET(PLE!$G$14,$M43,AY$13))))</f>
        <v>0</v>
      </c>
      <c r="AZ43" s="181">
        <f ca="1">IF($D43&lt;&gt;"Serviço",0,IF(OR(AND(AUTOEVENTO="Manual",$M43=1),$M43&gt;(ROW(PLE.lastrow)-ROW(PLE.firstrow))),0,IF(OFFSET(PLE!$G$14,$M43,AZ$13)="",10^12,OFFSET(PLE!$G$14,$M43,AZ$13))))</f>
        <v>0</v>
      </c>
      <c r="BA43" s="181">
        <f ca="1">IF($D43&lt;&gt;"Serviço",0,IF(OR(AND(AUTOEVENTO="Manual",$M43=1),$M43&gt;(ROW(PLE.lastrow)-ROW(PLE.firstrow))),0,IF(OFFSET(PLE!$G$14,$M43,BA$13)="",10^12,OFFSET(PLE!$G$14,$M43,BA$13))))</f>
        <v>0</v>
      </c>
      <c r="BB43" s="181">
        <f ca="1">IF($D43&lt;&gt;"Serviço",0,IF(OR(AND(AUTOEVENTO="Manual",$M43=1),$M43&gt;(ROW(PLE.lastrow)-ROW(PLE.firstrow))),0,IF(OFFSET(PLE!$G$14,$M43,BB$13)="",10^12,OFFSET(PLE!$G$14,$M43,BB$13))))</f>
        <v>0</v>
      </c>
      <c r="BC43" s="181">
        <f ca="1">IF($D43&lt;&gt;"Serviço",0,IF(OR(AND(AUTOEVENTO="Manual",$M43=1),$M43&gt;(ROW(PLE.lastrow)-ROW(PLE.firstrow))),0,IF(OFFSET(PLE!$G$14,$M43,BC$13)="",10^12,OFFSET(PLE!$G$14,$M43,BC$13))))</f>
        <v>0</v>
      </c>
      <c r="BD43" s="181">
        <f ca="1">IF($D43&lt;&gt;"Serviço",0,IF(OR(AND(AUTOEVENTO="Manual",$M43=1),$M43&gt;(ROW(PLE.lastrow)-ROW(PLE.firstrow))),0,IF(OFFSET(PLE!$G$14,$M43,BD$13)="",10^12,OFFSET(PLE!$G$14,$M43,BD$13))))</f>
        <v>0</v>
      </c>
      <c r="BE43" s="181">
        <f ca="1">IF($D43&lt;&gt;"Serviço",0,IF(OR(AND(AUTOEVENTO="Manual",$M43=1),$M43&gt;(ROW(PLE.lastrow)-ROW(PLE.firstrow))),0,IF(OFFSET(PLE!$G$14,$M43,BE$13)="",10^12,OFFSET(PLE!$G$14,$M43,BE$13))))</f>
        <v>0</v>
      </c>
      <c r="BF43" s="181">
        <f ca="1">IF($D43&lt;&gt;"Serviço",0,IF(OR(AND(AUTOEVENTO="Manual",$M43=1),$M43&gt;(ROW(PLE.lastrow)-ROW(PLE.firstrow))),0,IF(OFFSET(PLE!$G$14,$M43,BF$13)="",10^12,OFFSET(PLE!$G$14,$M43,BF$13))))</f>
        <v>0</v>
      </c>
      <c r="BG43" s="181">
        <f ca="1">IF($D43&lt;&gt;"Serviço",0,IF(OR(AND(AUTOEVENTO="Manual",$M43=1),$M43&gt;(ROW(PLE.lastrow)-ROW(PLE.firstrow))),0,IF(OFFSET(PLE!$G$14,$M43,BG$13)="",10^12,OFFSET(PLE!$G$14,$M43,BG$13))))</f>
        <v>0</v>
      </c>
    </row>
    <row r="44" spans="1:59" s="577" customFormat="1" ht="12.75" x14ac:dyDescent="0.2">
      <c r="A44" s="7">
        <f t="shared" ref="A44:A47" ca="1" si="9">IF(AUTOEVENTO="Manual",IF(K44&lt;&gt;"",MIN(VALUE(LEFT(K44,FIND(".",K44)-1)),COUNTA(EVENTOS.Lista)),0),IF(OR($B44&gt;AUTOEVENTO,$B44="S",$B44=0),SUBSTITUTE(OFFSET($A44,-1,0),IF($D44="Serviço",".",""),""),ROW(A44)-ROW($A$15)&amp;"."))</f>
        <v>6</v>
      </c>
      <c r="B44" s="7">
        <f ca="1">OFFSET(ORÇAMENTO!C$15,ROW(B44)-ROW(B$15),0)</f>
        <v>2</v>
      </c>
      <c r="C44" s="7" t="str">
        <f ca="1">OFFSET(ORÇAMENTO!L$15,ROW(C44)-ROW(C$15),0)</f>
        <v>F</v>
      </c>
      <c r="D44" s="118" t="str">
        <f ca="1">OFFSET(ORÇAMENTO!N$15,ROW(D44)-ROW(D$15),0)</f>
        <v>Nível 2</v>
      </c>
      <c r="E44" s="119" t="str">
        <f ca="1">OFFSET(ORÇAMENTO!O$15,ROW(E44)-ROW(E$15),0)</f>
        <v>1.9.</v>
      </c>
      <c r="F44" s="171" t="str">
        <f ca="1">OFFSET(ORÇAMENTO!R$15,ROW(F44)-ROW(F$15),0)</f>
        <v>Lado Direito</v>
      </c>
      <c r="G44" s="172" t="str">
        <f ca="1">IF($D44&lt;&gt;"Serviço","",OFFSET(ORÇAMENTO!S$15,ROW(G44)-ROW(G$15),0))</f>
        <v/>
      </c>
      <c r="H44" s="124">
        <f ca="1">IF($D44&lt;&gt;"Serviço",0,IF(ACOMPANHAMENTO="BM",ROUND(OFFSET(ORÇAMENTO!AJ$15,ROW(H44)-ROW(H$15),0),15-13*ORÇAMENTO!$AF$7),SUMPRODUCT(($Q$12:$AA$12&lt;&gt;"")*ROUND($Q44:$AA44,15-13*ORÇAMENTO!$AF$7))))</f>
        <v>0</v>
      </c>
      <c r="I44" s="561"/>
      <c r="K44" s="173" t="s">
        <v>506</v>
      </c>
      <c r="L44" s="174" t="s">
        <v>257</v>
      </c>
      <c r="M44" s="175" t="str">
        <f ca="1">IF($D44&lt;&gt;"Serviço","",IF(AUTOEVENTO="manual",$A44,IF(ISERROR(MATCH($A44,$A$15:OFFSET($A44,-1,0),0)),MAX($M$15:OFFSET(M44,-1,0))+1,INDEX($M$15:OFFSET(M44,-1,0),MATCH($A44,$A$15:OFFSET($A44,-1,0),0)))))</f>
        <v/>
      </c>
      <c r="N44" s="176" t="str">
        <f ca="1">IF($D44&lt;&gt;"Serviço","",IF(AUTOEVENTO="Manual",IF($A44=0,"&lt;-- defina o número do agrupador",OFFSET(EVENTOS!$D$14,$A44,0)),OFFSET($F$15,$A44,0)))</f>
        <v/>
      </c>
      <c r="O44" s="177"/>
      <c r="Q44" s="177"/>
      <c r="R44" s="178"/>
      <c r="S44" s="178"/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0</v>
      </c>
      <c r="AN44" s="180">
        <f ca="1">IF($D44&lt;&gt;"Serviço",0,IF(AND(AUTOEVENTO="Manual",$M44=1),0,IF(OFFSET(CRONOPLE!$F$14,$M44,AN$13)="",10^12,OFFSET(CRONOPLE!$F$14,$M44,AN$13))))</f>
        <v>0</v>
      </c>
      <c r="AO44" s="180">
        <f ca="1">IF($D44&lt;&gt;"Serviço",0,IF(AND(AUTOEVENTO="Manual",$M44=1),0,IF(OFFSET(CRONOPLE!$F$14,$M44,AO$13)="",10^12,OFFSET(CRONOPLE!$F$14,$M44,AO$13))))</f>
        <v>0</v>
      </c>
      <c r="AP44" s="180">
        <f ca="1">IF($D44&lt;&gt;"Serviço",0,IF(AND(AUTOEVENTO="Manual",$M44=1),0,IF(OFFSET(CRONOPLE!$F$14,$M44,AP$13)="",10^12,OFFSET(CRONOPLE!$F$14,$M44,AP$13))))</f>
        <v>0</v>
      </c>
      <c r="AQ44" s="180">
        <f ca="1">IF($D44&lt;&gt;"Serviço",0,IF(AND(AUTOEVENTO="Manual",$M44=1),0,IF(OFFSET(CRONOPLE!$F$14,$M44,AQ$13)="",10^12,OFFSET(CRONOPLE!$F$14,$M44,AQ$13))))</f>
        <v>0</v>
      </c>
      <c r="AR44" s="180">
        <f ca="1">IF($D44&lt;&gt;"Serviço",0,IF(AND(AUTOEVENTO="Manual",$M44=1),0,IF(OFFSET(CRONOPLE!$F$14,$M44,AR$13)="",10^12,OFFSET(CRONOPLE!$F$14,$M44,AR$13))))</f>
        <v>0</v>
      </c>
      <c r="AS44" s="180">
        <f ca="1">IF($D44&lt;&gt;"Serviço",0,IF(AND(AUTOEVENTO="Manual",$M44=1),0,IF(OFFSET(CRONOPLE!$F$14,$M44,AS$13)="",10^12,OFFSET(CRONOPLE!$F$14,$M44,AS$13))))</f>
        <v>0</v>
      </c>
      <c r="AT44" s="180">
        <f ca="1">IF($D44&lt;&gt;"Serviço",0,IF(AND(AUTOEVENTO="Manual",$M44=1),0,IF(OFFSET(CRONOPLE!$F$14,$M44,AT$13)="",10^12,OFFSET(CRONOPLE!$F$14,$M44,AT$13))))</f>
        <v>0</v>
      </c>
      <c r="AU44" s="180">
        <f ca="1">IF($D44&lt;&gt;"Serviço",0,IF(AND(AUTOEVENTO="Manual",$M44=1),0,IF(OFFSET(CRONOPLE!$F$14,$M44,AU$13)="",10^12,OFFSET(CRONOPLE!$F$14,$M44,AU$13))))</f>
        <v>0</v>
      </c>
      <c r="AV44" s="180">
        <f ca="1">IF($D44&lt;&gt;"Serviço",0,IF(AND(AUTOEVENTO="Manual",$M44=1),0,IF(OFFSET(CRONOPLE!$F$14,$M44,AV$13)="",10^12,OFFSET(CRONOPLE!$F$14,$M44,AV$13))))</f>
        <v>0</v>
      </c>
      <c r="AX44" s="181">
        <f ca="1">IF($D44&lt;&gt;"Serviço",0,IF(OR(AND(AUTOEVENTO="Manual",$M44=1),$M44&gt;(ROW(PLE.lastrow)-ROW(PLE.firstrow))),0,IF(OFFSET(PLE!$G$14,$M44,AX$13)="",10^12,OFFSET(PLE!$G$14,$M44,AX$13))))</f>
        <v>0</v>
      </c>
      <c r="AY44" s="181">
        <f ca="1">IF($D44&lt;&gt;"Serviço",0,IF(OR(AND(AUTOEVENTO="Manual",$M44=1),$M44&gt;(ROW(PLE.lastrow)-ROW(PLE.firstrow))),0,IF(OFFSET(PLE!$G$14,$M44,AY$13)="",10^12,OFFSET(PLE!$G$14,$M44,AY$13))))</f>
        <v>0</v>
      </c>
      <c r="AZ44" s="181">
        <f ca="1">IF($D44&lt;&gt;"Serviço",0,IF(OR(AND(AUTOEVENTO="Manual",$M44=1),$M44&gt;(ROW(PLE.lastrow)-ROW(PLE.firstrow))),0,IF(OFFSET(PLE!$G$14,$M44,AZ$13)="",10^12,OFFSET(PLE!$G$14,$M44,AZ$13))))</f>
        <v>0</v>
      </c>
      <c r="BA44" s="181">
        <f ca="1">IF($D44&lt;&gt;"Serviço",0,IF(OR(AND(AUTOEVENTO="Manual",$M44=1),$M44&gt;(ROW(PLE.lastrow)-ROW(PLE.firstrow))),0,IF(OFFSET(PLE!$G$14,$M44,BA$13)="",10^12,OFFSET(PLE!$G$14,$M44,BA$13))))</f>
        <v>0</v>
      </c>
      <c r="BB44" s="181">
        <f ca="1">IF($D44&lt;&gt;"Serviço",0,IF(OR(AND(AUTOEVENTO="Manual",$M44=1),$M44&gt;(ROW(PLE.lastrow)-ROW(PLE.firstrow))),0,IF(OFFSET(PLE!$G$14,$M44,BB$13)="",10^12,OFFSET(PLE!$G$14,$M44,BB$13))))</f>
        <v>0</v>
      </c>
      <c r="BC44" s="181">
        <f ca="1">IF($D44&lt;&gt;"Serviço",0,IF(OR(AND(AUTOEVENTO="Manual",$M44=1),$M44&gt;(ROW(PLE.lastrow)-ROW(PLE.firstrow))),0,IF(OFFSET(PLE!$G$14,$M44,BC$13)="",10^12,OFFSET(PLE!$G$14,$M44,BC$13))))</f>
        <v>0</v>
      </c>
      <c r="BD44" s="181">
        <f ca="1">IF($D44&lt;&gt;"Serviço",0,IF(OR(AND(AUTOEVENTO="Manual",$M44=1),$M44&gt;(ROW(PLE.lastrow)-ROW(PLE.firstrow))),0,IF(OFFSET(PLE!$G$14,$M44,BD$13)="",10^12,OFFSET(PLE!$G$14,$M44,BD$13))))</f>
        <v>0</v>
      </c>
      <c r="BE44" s="181">
        <f ca="1">IF($D44&lt;&gt;"Serviço",0,IF(OR(AND(AUTOEVENTO="Manual",$M44=1),$M44&gt;(ROW(PLE.lastrow)-ROW(PLE.firstrow))),0,IF(OFFSET(PLE!$G$14,$M44,BE$13)="",10^12,OFFSET(PLE!$G$14,$M44,BE$13))))</f>
        <v>0</v>
      </c>
      <c r="BF44" s="181">
        <f ca="1">IF($D44&lt;&gt;"Serviço",0,IF(OR(AND(AUTOEVENTO="Manual",$M44=1),$M44&gt;(ROW(PLE.lastrow)-ROW(PLE.firstrow))),0,IF(OFFSET(PLE!$G$14,$M44,BF$13)="",10^12,OFFSET(PLE!$G$14,$M44,BF$13))))</f>
        <v>0</v>
      </c>
      <c r="BG44" s="181">
        <f ca="1">IF($D44&lt;&gt;"Serviço",0,IF(OR(AND(AUTOEVENTO="Manual",$M44=1),$M44&gt;(ROW(PLE.lastrow)-ROW(PLE.firstrow))),0,IF(OFFSET(PLE!$G$14,$M44,BG$13)="",10^12,OFFSET(PLE!$G$14,$M44,BG$13))))</f>
        <v>0</v>
      </c>
    </row>
    <row r="45" spans="1:59" s="577" customFormat="1" ht="51" x14ac:dyDescent="0.2">
      <c r="A45" s="7">
        <f t="shared" ca="1" si="9"/>
        <v>6</v>
      </c>
      <c r="B45" s="7" t="str">
        <f ca="1">OFFSET(ORÇAMENTO!C$15,ROW(B45)-ROW(B$15),0)</f>
        <v>S</v>
      </c>
      <c r="C45" s="7" t="str">
        <f ca="1">OFFSET(ORÇAMENTO!L$15,ROW(C45)-ROW(C$15),0)</f>
        <v/>
      </c>
      <c r="D45" s="118" t="str">
        <f ca="1">OFFSET(ORÇAMENTO!N$15,ROW(D45)-ROW(D$15),0)</f>
        <v>Serviço</v>
      </c>
      <c r="E45" s="119" t="str">
        <f ca="1">OFFSET(ORÇAMENTO!O$15,ROW(E45)-ROW(E$15),0)</f>
        <v>-</v>
      </c>
      <c r="F45" s="171" t="str">
        <f ca="1">OFFSET(ORÇAMENTO!R$15,ROW(F45)-ROW(F$15),0)</f>
        <v>(abra o arquivo 'Referência 04-2024.xls)</v>
      </c>
      <c r="G45" s="172" t="str">
        <f ca="1">IF($D45&lt;&gt;"Serviço","",OFFSET(ORÇAMENTO!S$15,ROW(G45)-ROW(G$15),0))</f>
        <v>-</v>
      </c>
      <c r="H45" s="124">
        <f ca="1">IF($D45&lt;&gt;"Serviço",0,IF(ACOMPANHAMENTO="BM",ROUND(OFFSET(ORÇAMENTO!AJ$15,ROW(H45)-ROW(H$15),0),15-13*ORÇAMENTO!$AF$7),SUMPRODUCT(($Q$12:$AA$12&lt;&gt;"")*ROUND($Q45:$AA45,15-13*ORÇAMENTO!$AF$7))))</f>
        <v>39.880000000000003</v>
      </c>
      <c r="I45" s="561" t="s">
        <v>498</v>
      </c>
      <c r="K45" s="173" t="s">
        <v>506</v>
      </c>
      <c r="L45" s="174" t="s">
        <v>257</v>
      </c>
      <c r="M45" s="175">
        <f ca="1">IF($D45&lt;&gt;"Serviço","",IF(AUTOEVENTO="manual",$A45,IF(ISERROR(MATCH($A45,$A$15:OFFSET($A45,-1,0),0)),MAX($M$15:OFFSET(M45,-1,0))+1,INDEX($M$15:OFFSET(M45,-1,0),MATCH($A45,$A$15:OFFSET($A45,-1,0),0)))))</f>
        <v>6</v>
      </c>
      <c r="N45" s="176" t="str">
        <f ca="1">IF($D45&lt;&gt;"Serviço","",IF(AUTOEVENTO="Manual",IF($A45=0,"&lt;-- defina o número do agrupador",OFFSET(EVENTOS!$D$14,$A45,0)),OFFSET($F$15,$A45,0)))</f>
        <v>Passeio Público</v>
      </c>
      <c r="O45" s="177"/>
      <c r="Q45" s="177"/>
      <c r="R45" s="178"/>
      <c r="S45" s="178">
        <f>79.75*0.5</f>
        <v>39.875</v>
      </c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1000000000000</v>
      </c>
      <c r="AN45" s="180">
        <f ca="1">IF($D45&lt;&gt;"Serviço",0,IF(AND(AUTOEVENTO="Manual",$M45=1),0,IF(OFFSET(CRONOPLE!$F$14,$M45,AN$13)="",10^12,OFFSET(CRONOPLE!$F$14,$M45,AN$13))))</f>
        <v>3</v>
      </c>
      <c r="AO45" s="180">
        <f ca="1">IF($D45&lt;&gt;"Serviço",0,IF(AND(AUTOEVENTO="Manual",$M45=1),0,IF(OFFSET(CRONOPLE!$F$14,$M45,AO$13)="",10^12,OFFSET(CRONOPLE!$F$14,$M45,AO$13))))</f>
        <v>4</v>
      </c>
      <c r="AP45" s="180">
        <f ca="1">IF($D45&lt;&gt;"Serviço",0,IF(AND(AUTOEVENTO="Manual",$M45=1),0,IF(OFFSET(CRONOPLE!$F$14,$M45,AP$13)="",10^12,OFFSET(CRONOPLE!$F$14,$M45,AP$13))))</f>
        <v>1000000000000</v>
      </c>
      <c r="AQ45" s="180">
        <f ca="1">IF($D45&lt;&gt;"Serviço",0,IF(AND(AUTOEVENTO="Manual",$M45=1),0,IF(OFFSET(CRONOPLE!$F$14,$M45,AQ$13)="",10^12,OFFSET(CRONOPLE!$F$14,$M45,AQ$13))))</f>
        <v>1000000000000</v>
      </c>
      <c r="AR45" s="180">
        <f ca="1">IF($D45&lt;&gt;"Serviço",0,IF(AND(AUTOEVENTO="Manual",$M45=1),0,IF(OFFSET(CRONOPLE!$F$14,$M45,AR$13)="",10^12,OFFSET(CRONOPLE!$F$14,$M45,AR$13))))</f>
        <v>1000000000000</v>
      </c>
      <c r="AS45" s="180">
        <f ca="1">IF($D45&lt;&gt;"Serviço",0,IF(AND(AUTOEVENTO="Manual",$M45=1),0,IF(OFFSET(CRONOPLE!$F$14,$M45,AS$13)="",10^12,OFFSET(CRONOPLE!$F$14,$M45,AS$13))))</f>
        <v>1000000000000</v>
      </c>
      <c r="AT45" s="180">
        <f ca="1">IF($D45&lt;&gt;"Serviço",0,IF(AND(AUTOEVENTO="Manual",$M45=1),0,IF(OFFSET(CRONOPLE!$F$14,$M45,AT$13)="",10^12,OFFSET(CRONOPLE!$F$14,$M45,AT$13))))</f>
        <v>1000000000000</v>
      </c>
      <c r="AU45" s="180">
        <f ca="1">IF($D45&lt;&gt;"Serviço",0,IF(AND(AUTOEVENTO="Manual",$M45=1),0,IF(OFFSET(CRONOPLE!$F$14,$M45,AU$13)="",10^12,OFFSET(CRONOPLE!$F$14,$M45,AU$13))))</f>
        <v>1000000000000</v>
      </c>
      <c r="AV45" s="180">
        <f ca="1">IF($D45&lt;&gt;"Serviço",0,IF(AND(AUTOEVENTO="Manual",$M45=1),0,IF(OFFSET(CRONOPLE!$F$14,$M45,AV$13)="",10^12,OFFSET(CRONOPLE!$F$14,$M45,AV$13))))</f>
        <v>1000000000000</v>
      </c>
      <c r="AX45" s="181">
        <f ca="1">IF($D45&lt;&gt;"Serviço",0,IF(OR(AND(AUTOEVENTO="Manual",$M45=1),$M45&gt;(ROW(PLE.lastrow)-ROW(PLE.firstrow))),0,IF(OFFSET(PLE!$G$14,$M45,AX$13)="",10^12,OFFSET(PLE!$G$14,$M45,AX$13))))</f>
        <v>1000000000000</v>
      </c>
      <c r="AY45" s="181">
        <f ca="1">IF($D45&lt;&gt;"Serviço",0,IF(OR(AND(AUTOEVENTO="Manual",$M45=1),$M45&gt;(ROW(PLE.lastrow)-ROW(PLE.firstrow))),0,IF(OFFSET(PLE!$G$14,$M45,AY$13)="",10^12,OFFSET(PLE!$G$14,$M45,AY$13))))</f>
        <v>1000000000000</v>
      </c>
      <c r="AZ45" s="181">
        <f ca="1">IF($D45&lt;&gt;"Serviço",0,IF(OR(AND(AUTOEVENTO="Manual",$M45=1),$M45&gt;(ROW(PLE.lastrow)-ROW(PLE.firstrow))),0,IF(OFFSET(PLE!$G$14,$M45,AZ$13)="",10^12,OFFSET(PLE!$G$14,$M45,AZ$13))))</f>
        <v>1000000000000</v>
      </c>
      <c r="BA45" s="181">
        <f ca="1">IF($D45&lt;&gt;"Serviço",0,IF(OR(AND(AUTOEVENTO="Manual",$M45=1),$M45&gt;(ROW(PLE.lastrow)-ROW(PLE.firstrow))),0,IF(OFFSET(PLE!$G$14,$M45,BA$13)="",10^12,OFFSET(PLE!$G$14,$M45,BA$13))))</f>
        <v>1000000000000</v>
      </c>
      <c r="BB45" s="181">
        <f ca="1">IF($D45&lt;&gt;"Serviço",0,IF(OR(AND(AUTOEVENTO="Manual",$M45=1),$M45&gt;(ROW(PLE.lastrow)-ROW(PLE.firstrow))),0,IF(OFFSET(PLE!$G$14,$M45,BB$13)="",10^12,OFFSET(PLE!$G$14,$M45,BB$13))))</f>
        <v>1000000000000</v>
      </c>
      <c r="BC45" s="181">
        <f ca="1">IF($D45&lt;&gt;"Serviço",0,IF(OR(AND(AUTOEVENTO="Manual",$M45=1),$M45&gt;(ROW(PLE.lastrow)-ROW(PLE.firstrow))),0,IF(OFFSET(PLE!$G$14,$M45,BC$13)="",10^12,OFFSET(PLE!$G$14,$M45,BC$13))))</f>
        <v>1000000000000</v>
      </c>
      <c r="BD45" s="181">
        <f ca="1">IF($D45&lt;&gt;"Serviço",0,IF(OR(AND(AUTOEVENTO="Manual",$M45=1),$M45&gt;(ROW(PLE.lastrow)-ROW(PLE.firstrow))),0,IF(OFFSET(PLE!$G$14,$M45,BD$13)="",10^12,OFFSET(PLE!$G$14,$M45,BD$13))))</f>
        <v>1000000000000</v>
      </c>
      <c r="BE45" s="181">
        <f ca="1">IF($D45&lt;&gt;"Serviço",0,IF(OR(AND(AUTOEVENTO="Manual",$M45=1),$M45&gt;(ROW(PLE.lastrow)-ROW(PLE.firstrow))),0,IF(OFFSET(PLE!$G$14,$M45,BE$13)="",10^12,OFFSET(PLE!$G$14,$M45,BE$13))))</f>
        <v>1000000000000</v>
      </c>
      <c r="BF45" s="181">
        <f ca="1">IF($D45&lt;&gt;"Serviço",0,IF(OR(AND(AUTOEVENTO="Manual",$M45=1),$M45&gt;(ROW(PLE.lastrow)-ROW(PLE.firstrow))),0,IF(OFFSET(PLE!$G$14,$M45,BF$13)="",10^12,OFFSET(PLE!$G$14,$M45,BF$13))))</f>
        <v>1000000000000</v>
      </c>
      <c r="BG45" s="181">
        <f ca="1">IF($D45&lt;&gt;"Serviço",0,IF(OR(AND(AUTOEVENTO="Manual",$M45=1),$M45&gt;(ROW(PLE.lastrow)-ROW(PLE.firstrow))),0,IF(OFFSET(PLE!$G$14,$M45,BG$13)="",10^12,OFFSET(PLE!$G$14,$M45,BG$13))))</f>
        <v>1000000000000</v>
      </c>
    </row>
    <row r="46" spans="1:59" s="577" customFormat="1" ht="12.75" x14ac:dyDescent="0.2">
      <c r="A46" s="7">
        <f t="shared" ca="1" si="9"/>
        <v>5</v>
      </c>
      <c r="B46" s="7">
        <f ca="1">OFFSET(ORÇAMENTO!C$15,ROW(B46)-ROW(B$15),0)</f>
        <v>2</v>
      </c>
      <c r="C46" s="7" t="str">
        <f ca="1">OFFSET(ORÇAMENTO!L$15,ROW(C46)-ROW(C$15),0)</f>
        <v>F</v>
      </c>
      <c r="D46" s="118" t="str">
        <f ca="1">OFFSET(ORÇAMENTO!N$15,ROW(D46)-ROW(D$15),0)</f>
        <v>Nível 2</v>
      </c>
      <c r="E46" s="119" t="str">
        <f ca="1">OFFSET(ORÇAMENTO!O$15,ROW(E46)-ROW(E$15),0)</f>
        <v>1.10.</v>
      </c>
      <c r="F46" s="171" t="str">
        <f ca="1">OFFSET(ORÇAMENTO!R$15,ROW(F46)-ROW(F$15),0)</f>
        <v>Lado Esquerdo</v>
      </c>
      <c r="G46" s="172" t="str">
        <f ca="1">IF($D46&lt;&gt;"Serviço","",OFFSET(ORÇAMENTO!S$15,ROW(G46)-ROW(G$15),0))</f>
        <v/>
      </c>
      <c r="H46" s="124">
        <f ca="1">IF($D46&lt;&gt;"Serviço",0,IF(ACOMPANHAMENTO="BM",ROUND(OFFSET(ORÇAMENTO!AJ$15,ROW(H46)-ROW(H$15),0),15-13*ORÇAMENTO!$AF$7),SUMPRODUCT(($Q$12:$AA$12&lt;&gt;"")*ROUND($Q46:$AA46,15-13*ORÇAMENTO!$AF$7))))</f>
        <v>0</v>
      </c>
      <c r="I46" s="561"/>
      <c r="K46" s="173" t="s">
        <v>493</v>
      </c>
      <c r="L46" s="174" t="s">
        <v>257</v>
      </c>
      <c r="M46" s="175" t="str">
        <f ca="1">IF($D46&lt;&gt;"Serviço","",IF(AUTOEVENTO="manual",$A46,IF(ISERROR(MATCH($A46,$A$15:OFFSET($A46,-1,0),0)),MAX($M$15:OFFSET(M46,-1,0))+1,INDEX($M$15:OFFSET(M46,-1,0),MATCH($A46,$A$15:OFFSET($A46,-1,0),0)))))</f>
        <v/>
      </c>
      <c r="N46" s="176" t="str">
        <f ca="1">IF($D46&lt;&gt;"Serviço","",IF(AUTOEVENTO="Manual",IF($A46=0,"&lt;-- defina o número do agrupador",OFFSET(EVENTOS!$D$14,$A46,0)),OFFSET($F$15,$A46,0)))</f>
        <v/>
      </c>
      <c r="O46" s="177"/>
      <c r="Q46" s="177"/>
      <c r="R46" s="178"/>
      <c r="S46" s="178"/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0</v>
      </c>
      <c r="AN46" s="180">
        <f ca="1">IF($D46&lt;&gt;"Serviço",0,IF(AND(AUTOEVENTO="Manual",$M46=1),0,IF(OFFSET(CRONOPLE!$F$14,$M46,AN$13)="",10^12,OFFSET(CRONOPLE!$F$14,$M46,AN$13))))</f>
        <v>0</v>
      </c>
      <c r="AO46" s="180">
        <f ca="1">IF($D46&lt;&gt;"Serviço",0,IF(AND(AUTOEVENTO="Manual",$M46=1),0,IF(OFFSET(CRONOPLE!$F$14,$M46,AO$13)="",10^12,OFFSET(CRONOPLE!$F$14,$M46,AO$13))))</f>
        <v>0</v>
      </c>
      <c r="AP46" s="180">
        <f ca="1">IF($D46&lt;&gt;"Serviço",0,IF(AND(AUTOEVENTO="Manual",$M46=1),0,IF(OFFSET(CRONOPLE!$F$14,$M46,AP$13)="",10^12,OFFSET(CRONOPLE!$F$14,$M46,AP$13))))</f>
        <v>0</v>
      </c>
      <c r="AQ46" s="180">
        <f ca="1">IF($D46&lt;&gt;"Serviço",0,IF(AND(AUTOEVENTO="Manual",$M46=1),0,IF(OFFSET(CRONOPLE!$F$14,$M46,AQ$13)="",10^12,OFFSET(CRONOPLE!$F$14,$M46,AQ$13))))</f>
        <v>0</v>
      </c>
      <c r="AR46" s="180">
        <f ca="1">IF($D46&lt;&gt;"Serviço",0,IF(AND(AUTOEVENTO="Manual",$M46=1),0,IF(OFFSET(CRONOPLE!$F$14,$M46,AR$13)="",10^12,OFFSET(CRONOPLE!$F$14,$M46,AR$13))))</f>
        <v>0</v>
      </c>
      <c r="AS46" s="180">
        <f ca="1">IF($D46&lt;&gt;"Serviço",0,IF(AND(AUTOEVENTO="Manual",$M46=1),0,IF(OFFSET(CRONOPLE!$F$14,$M46,AS$13)="",10^12,OFFSET(CRONOPLE!$F$14,$M46,AS$13))))</f>
        <v>0</v>
      </c>
      <c r="AT46" s="180">
        <f ca="1">IF($D46&lt;&gt;"Serviço",0,IF(AND(AUTOEVENTO="Manual",$M46=1),0,IF(OFFSET(CRONOPLE!$F$14,$M46,AT$13)="",10^12,OFFSET(CRONOPLE!$F$14,$M46,AT$13))))</f>
        <v>0</v>
      </c>
      <c r="AU46" s="180">
        <f ca="1">IF($D46&lt;&gt;"Serviço",0,IF(AND(AUTOEVENTO="Manual",$M46=1),0,IF(OFFSET(CRONOPLE!$F$14,$M46,AU$13)="",10^12,OFFSET(CRONOPLE!$F$14,$M46,AU$13))))</f>
        <v>0</v>
      </c>
      <c r="AV46" s="180">
        <f ca="1">IF($D46&lt;&gt;"Serviço",0,IF(AND(AUTOEVENTO="Manual",$M46=1),0,IF(OFFSET(CRONOPLE!$F$14,$M46,AV$13)="",10^12,OFFSET(CRONOPLE!$F$14,$M46,AV$13))))</f>
        <v>0</v>
      </c>
      <c r="AX46" s="181">
        <f ca="1">IF($D46&lt;&gt;"Serviço",0,IF(OR(AND(AUTOEVENTO="Manual",$M46=1),$M46&gt;(ROW(PLE.lastrow)-ROW(PLE.firstrow))),0,IF(OFFSET(PLE!$G$14,$M46,AX$13)="",10^12,OFFSET(PLE!$G$14,$M46,AX$13))))</f>
        <v>0</v>
      </c>
      <c r="AY46" s="181">
        <f ca="1">IF($D46&lt;&gt;"Serviço",0,IF(OR(AND(AUTOEVENTO="Manual",$M46=1),$M46&gt;(ROW(PLE.lastrow)-ROW(PLE.firstrow))),0,IF(OFFSET(PLE!$G$14,$M46,AY$13)="",10^12,OFFSET(PLE!$G$14,$M46,AY$13))))</f>
        <v>0</v>
      </c>
      <c r="AZ46" s="181">
        <f ca="1">IF($D46&lt;&gt;"Serviço",0,IF(OR(AND(AUTOEVENTO="Manual",$M46=1),$M46&gt;(ROW(PLE.lastrow)-ROW(PLE.firstrow))),0,IF(OFFSET(PLE!$G$14,$M46,AZ$13)="",10^12,OFFSET(PLE!$G$14,$M46,AZ$13))))</f>
        <v>0</v>
      </c>
      <c r="BA46" s="181">
        <f ca="1">IF($D46&lt;&gt;"Serviço",0,IF(OR(AND(AUTOEVENTO="Manual",$M46=1),$M46&gt;(ROW(PLE.lastrow)-ROW(PLE.firstrow))),0,IF(OFFSET(PLE!$G$14,$M46,BA$13)="",10^12,OFFSET(PLE!$G$14,$M46,BA$13))))</f>
        <v>0</v>
      </c>
      <c r="BB46" s="181">
        <f ca="1">IF($D46&lt;&gt;"Serviço",0,IF(OR(AND(AUTOEVENTO="Manual",$M46=1),$M46&gt;(ROW(PLE.lastrow)-ROW(PLE.firstrow))),0,IF(OFFSET(PLE!$G$14,$M46,BB$13)="",10^12,OFFSET(PLE!$G$14,$M46,BB$13))))</f>
        <v>0</v>
      </c>
      <c r="BC46" s="181">
        <f ca="1">IF($D46&lt;&gt;"Serviço",0,IF(OR(AND(AUTOEVENTO="Manual",$M46=1),$M46&gt;(ROW(PLE.lastrow)-ROW(PLE.firstrow))),0,IF(OFFSET(PLE!$G$14,$M46,BC$13)="",10^12,OFFSET(PLE!$G$14,$M46,BC$13))))</f>
        <v>0</v>
      </c>
      <c r="BD46" s="181">
        <f ca="1">IF($D46&lt;&gt;"Serviço",0,IF(OR(AND(AUTOEVENTO="Manual",$M46=1),$M46&gt;(ROW(PLE.lastrow)-ROW(PLE.firstrow))),0,IF(OFFSET(PLE!$G$14,$M46,BD$13)="",10^12,OFFSET(PLE!$G$14,$M46,BD$13))))</f>
        <v>0</v>
      </c>
      <c r="BE46" s="181">
        <f ca="1">IF($D46&lt;&gt;"Serviço",0,IF(OR(AND(AUTOEVENTO="Manual",$M46=1),$M46&gt;(ROW(PLE.lastrow)-ROW(PLE.firstrow))),0,IF(OFFSET(PLE!$G$14,$M46,BE$13)="",10^12,OFFSET(PLE!$G$14,$M46,BE$13))))</f>
        <v>0</v>
      </c>
      <c r="BF46" s="181">
        <f ca="1">IF($D46&lt;&gt;"Serviço",0,IF(OR(AND(AUTOEVENTO="Manual",$M46=1),$M46&gt;(ROW(PLE.lastrow)-ROW(PLE.firstrow))),0,IF(OFFSET(PLE!$G$14,$M46,BF$13)="",10^12,OFFSET(PLE!$G$14,$M46,BF$13))))</f>
        <v>0</v>
      </c>
      <c r="BG46" s="181">
        <f ca="1">IF($D46&lt;&gt;"Serviço",0,IF(OR(AND(AUTOEVENTO="Manual",$M46=1),$M46&gt;(ROW(PLE.lastrow)-ROW(PLE.firstrow))),0,IF(OFFSET(PLE!$G$14,$M46,BG$13)="",10^12,OFFSET(PLE!$G$14,$M46,BG$13))))</f>
        <v>0</v>
      </c>
    </row>
    <row r="47" spans="1:59" s="577" customFormat="1" ht="51" x14ac:dyDescent="0.2">
      <c r="A47" s="7">
        <f t="shared" ca="1" si="9"/>
        <v>6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04-2024.xls)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79.760000000000005</v>
      </c>
      <c r="I47" s="561" t="s">
        <v>498</v>
      </c>
      <c r="K47" s="173" t="s">
        <v>506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6</v>
      </c>
      <c r="N47" s="176" t="str">
        <f ca="1">IF($D47&lt;&gt;"Serviço","",IF(AUTOEVENTO="Manual",IF($A47=0,"&lt;-- defina o número do agrupador",OFFSET(EVENTOS!$D$14,$A47,0)),OFFSET($F$15,$A47,0)))</f>
        <v>Passeio Público</v>
      </c>
      <c r="O47" s="177"/>
      <c r="Q47" s="177"/>
      <c r="R47" s="178">
        <f>79.75*0.5</f>
        <v>39.875</v>
      </c>
      <c r="S47" s="178">
        <f>79.75*0.5</f>
        <v>39.875</v>
      </c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3</v>
      </c>
      <c r="AO47" s="180">
        <f ca="1">IF($D47&lt;&gt;"Serviço",0,IF(AND(AUTOEVENTO="Manual",$M47=1),0,IF(OFFSET(CRONOPLE!$F$14,$M47,AO$13)="",10^12,OFFSET(CRONOPLE!$F$14,$M47,AO$13))))</f>
        <v>4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1000000000000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ht="12.75" x14ac:dyDescent="0.2">
      <c r="A48" s="7">
        <f t="shared" ref="A48:A51" ca="1" si="10">IF(AUTOEVENTO="Manual",IF(K48&lt;&gt;"",MIN(VALUE(LEFT(K48,FIND(".",K48)-1)),COUNTA(EVENTOS.Lista)),0),IF(OR($B48&gt;AUTOEVENTO,$B48="S",$B48=0),SUBSTITUTE(OFFSET($A48,-1,0),IF($D48="Serviço",".",""),""),ROW(A48)-ROW($A$15)&amp;"."))</f>
        <v>7</v>
      </c>
      <c r="B48" s="7">
        <f ca="1">OFFSET(ORÇAMENTO!C$15,ROW(B48)-ROW(B$15),0)</f>
        <v>2</v>
      </c>
      <c r="C48" s="7" t="str">
        <f ca="1">OFFSET(ORÇAMENTO!L$15,ROW(C48)-ROW(C$15),0)</f>
        <v>F</v>
      </c>
      <c r="D48" s="118" t="str">
        <f ca="1">OFFSET(ORÇAMENTO!N$15,ROW(D48)-ROW(D$15),0)</f>
        <v>Nível 2</v>
      </c>
      <c r="E48" s="119" t="str">
        <f ca="1">OFFSET(ORÇAMENTO!O$15,ROW(E48)-ROW(E$15),0)</f>
        <v>1.11.</v>
      </c>
      <c r="F48" s="171" t="str">
        <f ca="1">OFFSET(ORÇAMENTO!R$15,ROW(F48)-ROW(F$15),0)</f>
        <v>SINALIZAÇÃO VERTICAL</v>
      </c>
      <c r="G48" s="172" t="str">
        <f ca="1">IF($D48&lt;&gt;"Serviço","",OFFSET(ORÇAMENTO!S$15,ROW(G48)-ROW(G$15),0))</f>
        <v/>
      </c>
      <c r="H48" s="124">
        <f ca="1">IF($D48&lt;&gt;"Serviço",0,IF(ACOMPANHAMENTO="BM",ROUND(OFFSET(ORÇAMENTO!AJ$15,ROW(H48)-ROW(H$15),0),15-13*ORÇAMENTO!$AF$7),SUMPRODUCT(($Q$12:$AA$12&lt;&gt;"")*ROUND($Q48:$AA48,15-13*ORÇAMENTO!$AF$7))))</f>
        <v>0</v>
      </c>
      <c r="I48" s="561"/>
      <c r="K48" s="173" t="s">
        <v>494</v>
      </c>
      <c r="L48" s="174" t="s">
        <v>257</v>
      </c>
      <c r="M48" s="175" t="str">
        <f ca="1">IF($D48&lt;&gt;"Serviço","",IF(AUTOEVENTO="manual",$A48,IF(ISERROR(MATCH($A48,$A$15:OFFSET($A48,-1,0),0)),MAX($M$15:OFFSET(M48,-1,0))+1,INDEX($M$15:OFFSET(M48,-1,0),MATCH($A48,$A$15:OFFSET($A48,-1,0),0)))))</f>
        <v/>
      </c>
      <c r="N48" s="176" t="str">
        <f ca="1">IF($D48&lt;&gt;"Serviço","",IF(AUTOEVENTO="Manual",IF($A48=0,"&lt;-- defina o número do agrupador",OFFSET(EVENTOS!$D$14,$A48,0)),OFFSET($F$15,$A48,0)))</f>
        <v/>
      </c>
      <c r="O48" s="177"/>
      <c r="Q48" s="177"/>
      <c r="R48" s="178"/>
      <c r="S48" s="178"/>
      <c r="T48" s="178"/>
      <c r="U48" s="178"/>
      <c r="V48" s="178"/>
      <c r="W48" s="178"/>
      <c r="X48" s="178"/>
      <c r="Y48" s="178"/>
      <c r="Z48" s="179"/>
      <c r="AB48" s="544">
        <f ca="1">IF(AND($D48="Serviço",AB$12&lt;&gt;0,$H48&gt;0,OR(AUTOEVENTO&lt;&gt;"manual",$M48&lt;&gt;1)),ROUND(OFFSET($P48,0,AB$13),15-13*ORÇAMENTO!$AF$7)/$H48*OFFSET(ORÇAMENTO!$X$15,ROW(AB48)-ROW(AB$15),0),0)</f>
        <v>0</v>
      </c>
      <c r="AC48" s="545">
        <f ca="1">IF(AND($D48="Serviço",AC$12&lt;&gt;0,$H48&gt;0,OR(AUTOEVENTO&lt;&gt;"manual",$M48&lt;&gt;1)),ROUND(OFFSET($P48,0,AC$13),15-13*ORÇAMENTO!$AF$7)/$H48*OFFSET(ORÇAMENTO!$X$15,ROW(AC48)-ROW(AC$15),0),0)</f>
        <v>0</v>
      </c>
      <c r="AD48" s="545">
        <f ca="1">IF(AND($D48="Serviço",AD$12&lt;&gt;0,$H48&gt;0,OR(AUTOEVENTO&lt;&gt;"manual",$M48&lt;&gt;1)),ROUND(OFFSET($P48,0,AD$13),15-13*ORÇAMENTO!$AF$7)/$H48*OFFSET(ORÇAMENTO!$X$15,ROW(AD48)-ROW(AD$15),0),0)</f>
        <v>0</v>
      </c>
      <c r="AE48" s="545">
        <f ca="1">IF(AND($D48="Serviço",AE$12&lt;&gt;0,$H48&gt;0,OR(AUTOEVENTO&lt;&gt;"manual",$M48&lt;&gt;1)),ROUND(OFFSET($P48,0,AE$13),15-13*ORÇAMENTO!$AF$7)/$H48*OFFSET(ORÇAMENTO!$X$15,ROW(AE48)-ROW(AE$15),0),0)</f>
        <v>0</v>
      </c>
      <c r="AF48" s="545">
        <f ca="1">IF(AND($D48="Serviço",AF$12&lt;&gt;0,$H48&gt;0,OR(AUTOEVENTO&lt;&gt;"manual",$M48&lt;&gt;1)),ROUND(OFFSET($P48,0,AF$13),15-13*ORÇAMENTO!$AF$7)/$H48*OFFSET(ORÇAMENTO!$X$15,ROW(AF48)-ROW(AF$15),0),0)</f>
        <v>0</v>
      </c>
      <c r="AG48" s="545">
        <f ca="1">IF(AND($D48="Serviço",AG$12&lt;&gt;0,$H48&gt;0,OR(AUTOEVENTO&lt;&gt;"manual",$M48&lt;&gt;1)),ROUND(OFFSET($P48,0,AG$13),15-13*ORÇAMENTO!$AF$7)/$H48*OFFSET(ORÇAMENTO!$X$15,ROW(AG48)-ROW(AG$15),0),0)</f>
        <v>0</v>
      </c>
      <c r="AH48" s="545">
        <f ca="1">IF(AND($D48="Serviço",AH$12&lt;&gt;0,$H48&gt;0,OR(AUTOEVENTO&lt;&gt;"manual",$M48&lt;&gt;1)),ROUND(OFFSET($P48,0,AH$13),15-13*ORÇAMENTO!$AF$7)/$H48*OFFSET(ORÇAMENTO!$X$15,ROW(AH48)-ROW(AH$15),0),0)</f>
        <v>0</v>
      </c>
      <c r="AI48" s="545">
        <f ca="1">IF(AND($D48="Serviço",AI$12&lt;&gt;0,$H48&gt;0,OR(AUTOEVENTO&lt;&gt;"manual",$M48&lt;&gt;1)),ROUND(OFFSET($P48,0,AI$13),15-13*ORÇAMENTO!$AF$7)/$H48*OFFSET(ORÇAMENTO!$X$15,ROW(AI48)-ROW(AI$15),0),0)</f>
        <v>0</v>
      </c>
      <c r="AJ48" s="545">
        <f ca="1">IF(AND($D48="Serviço",AJ$12&lt;&gt;0,$H48&gt;0,OR(AUTOEVENTO&lt;&gt;"manual",$M48&lt;&gt;1)),ROUND(OFFSET($P48,0,AJ$13),15-13*ORÇAMENTO!$AF$7)/$H48*OFFSET(ORÇAMENTO!$X$15,ROW(AJ48)-ROW(AJ$15),0),0)</f>
        <v>0</v>
      </c>
      <c r="AK48" s="546">
        <f ca="1">IF(AND($D48="Serviço",AK$12&lt;&gt;0,$H48&gt;0,OR(AUTOEVENTO&lt;&gt;"manual",$M48&lt;&gt;1)),ROUND(OFFSET($P48,0,AK$13),15-13*ORÇAMENTO!$AF$7)/$H48*OFFSET(ORÇAMENTO!$X$15,ROW(AK48)-ROW(AK$15),0),0)</f>
        <v>0</v>
      </c>
      <c r="AM48" s="180">
        <f ca="1">IF($D48&lt;&gt;"Serviço",0,IF(AND(AUTOEVENTO="Manual",$M48=1),0,IF(OFFSET(CRONOPLE!$F$14,$M48,AM$13)="",10^12,OFFSET(CRONOPLE!$F$14,$M48,AM$13))))</f>
        <v>0</v>
      </c>
      <c r="AN48" s="180">
        <f ca="1">IF($D48&lt;&gt;"Serviço",0,IF(AND(AUTOEVENTO="Manual",$M48=1),0,IF(OFFSET(CRONOPLE!$F$14,$M48,AN$13)="",10^12,OFFSET(CRONOPLE!$F$14,$M48,AN$13))))</f>
        <v>0</v>
      </c>
      <c r="AO48" s="180">
        <f ca="1">IF($D48&lt;&gt;"Serviço",0,IF(AND(AUTOEVENTO="Manual",$M48=1),0,IF(OFFSET(CRONOPLE!$F$14,$M48,AO$13)="",10^12,OFFSET(CRONOPLE!$F$14,$M48,AO$13))))</f>
        <v>0</v>
      </c>
      <c r="AP48" s="180">
        <f ca="1">IF($D48&lt;&gt;"Serviço",0,IF(AND(AUTOEVENTO="Manual",$M48=1),0,IF(OFFSET(CRONOPLE!$F$14,$M48,AP$13)="",10^12,OFFSET(CRONOPLE!$F$14,$M48,AP$13))))</f>
        <v>0</v>
      </c>
      <c r="AQ48" s="180">
        <f ca="1">IF($D48&lt;&gt;"Serviço",0,IF(AND(AUTOEVENTO="Manual",$M48=1),0,IF(OFFSET(CRONOPLE!$F$14,$M48,AQ$13)="",10^12,OFFSET(CRONOPLE!$F$14,$M48,AQ$13))))</f>
        <v>0</v>
      </c>
      <c r="AR48" s="180">
        <f ca="1">IF($D48&lt;&gt;"Serviço",0,IF(AND(AUTOEVENTO="Manual",$M48=1),0,IF(OFFSET(CRONOPLE!$F$14,$M48,AR$13)="",10^12,OFFSET(CRONOPLE!$F$14,$M48,AR$13))))</f>
        <v>0</v>
      </c>
      <c r="AS48" s="180">
        <f ca="1">IF($D48&lt;&gt;"Serviço",0,IF(AND(AUTOEVENTO="Manual",$M48=1),0,IF(OFFSET(CRONOPLE!$F$14,$M48,AS$13)="",10^12,OFFSET(CRONOPLE!$F$14,$M48,AS$13))))</f>
        <v>0</v>
      </c>
      <c r="AT48" s="180">
        <f ca="1">IF($D48&lt;&gt;"Serviço",0,IF(AND(AUTOEVENTO="Manual",$M48=1),0,IF(OFFSET(CRONOPLE!$F$14,$M48,AT$13)="",10^12,OFFSET(CRONOPLE!$F$14,$M48,AT$13))))</f>
        <v>0</v>
      </c>
      <c r="AU48" s="180">
        <f ca="1">IF($D48&lt;&gt;"Serviço",0,IF(AND(AUTOEVENTO="Manual",$M48=1),0,IF(OFFSET(CRONOPLE!$F$14,$M48,AU$13)="",10^12,OFFSET(CRONOPLE!$F$14,$M48,AU$13))))</f>
        <v>0</v>
      </c>
      <c r="AV48" s="180">
        <f ca="1">IF($D48&lt;&gt;"Serviço",0,IF(AND(AUTOEVENTO="Manual",$M48=1),0,IF(OFFSET(CRONOPLE!$F$14,$M48,AV$13)="",10^12,OFFSET(CRONOPLE!$F$14,$M48,AV$13))))</f>
        <v>0</v>
      </c>
      <c r="AX48" s="181">
        <f ca="1">IF($D48&lt;&gt;"Serviço",0,IF(OR(AND(AUTOEVENTO="Manual",$M48=1),$M48&gt;(ROW(PLE.lastrow)-ROW(PLE.firstrow))),0,IF(OFFSET(PLE!$G$14,$M48,AX$13)="",10^12,OFFSET(PLE!$G$14,$M48,AX$13))))</f>
        <v>0</v>
      </c>
      <c r="AY48" s="181">
        <f ca="1">IF($D48&lt;&gt;"Serviço",0,IF(OR(AND(AUTOEVENTO="Manual",$M48=1),$M48&gt;(ROW(PLE.lastrow)-ROW(PLE.firstrow))),0,IF(OFFSET(PLE!$G$14,$M48,AY$13)="",10^12,OFFSET(PLE!$G$14,$M48,AY$13))))</f>
        <v>0</v>
      </c>
      <c r="AZ48" s="181">
        <f ca="1">IF($D48&lt;&gt;"Serviço",0,IF(OR(AND(AUTOEVENTO="Manual",$M48=1),$M48&gt;(ROW(PLE.lastrow)-ROW(PLE.firstrow))),0,IF(OFFSET(PLE!$G$14,$M48,AZ$13)="",10^12,OFFSET(PLE!$G$14,$M48,AZ$13))))</f>
        <v>0</v>
      </c>
      <c r="BA48" s="181">
        <f ca="1">IF($D48&lt;&gt;"Serviço",0,IF(OR(AND(AUTOEVENTO="Manual",$M48=1),$M48&gt;(ROW(PLE.lastrow)-ROW(PLE.firstrow))),0,IF(OFFSET(PLE!$G$14,$M48,BA$13)="",10^12,OFFSET(PLE!$G$14,$M48,BA$13))))</f>
        <v>0</v>
      </c>
      <c r="BB48" s="181">
        <f ca="1">IF($D48&lt;&gt;"Serviço",0,IF(OR(AND(AUTOEVENTO="Manual",$M48=1),$M48&gt;(ROW(PLE.lastrow)-ROW(PLE.firstrow))),0,IF(OFFSET(PLE!$G$14,$M48,BB$13)="",10^12,OFFSET(PLE!$G$14,$M48,BB$13))))</f>
        <v>0</v>
      </c>
      <c r="BC48" s="181">
        <f ca="1">IF($D48&lt;&gt;"Serviço",0,IF(OR(AND(AUTOEVENTO="Manual",$M48=1),$M48&gt;(ROW(PLE.lastrow)-ROW(PLE.firstrow))),0,IF(OFFSET(PLE!$G$14,$M48,BC$13)="",10^12,OFFSET(PLE!$G$14,$M48,BC$13))))</f>
        <v>0</v>
      </c>
      <c r="BD48" s="181">
        <f ca="1">IF($D48&lt;&gt;"Serviço",0,IF(OR(AND(AUTOEVENTO="Manual",$M48=1),$M48&gt;(ROW(PLE.lastrow)-ROW(PLE.firstrow))),0,IF(OFFSET(PLE!$G$14,$M48,BD$13)="",10^12,OFFSET(PLE!$G$14,$M48,BD$13))))</f>
        <v>0</v>
      </c>
      <c r="BE48" s="181">
        <f ca="1">IF($D48&lt;&gt;"Serviço",0,IF(OR(AND(AUTOEVENTO="Manual",$M48=1),$M48&gt;(ROW(PLE.lastrow)-ROW(PLE.firstrow))),0,IF(OFFSET(PLE!$G$14,$M48,BE$13)="",10^12,OFFSET(PLE!$G$14,$M48,BE$13))))</f>
        <v>0</v>
      </c>
      <c r="BF48" s="181">
        <f ca="1">IF($D48&lt;&gt;"Serviço",0,IF(OR(AND(AUTOEVENTO="Manual",$M48=1),$M48&gt;(ROW(PLE.lastrow)-ROW(PLE.firstrow))),0,IF(OFFSET(PLE!$G$14,$M48,BF$13)="",10^12,OFFSET(PLE!$G$14,$M48,BF$13))))</f>
        <v>0</v>
      </c>
      <c r="BG48" s="181">
        <f ca="1">IF($D48&lt;&gt;"Serviço",0,IF(OR(AND(AUTOEVENTO="Manual",$M48=1),$M48&gt;(ROW(PLE.lastrow)-ROW(PLE.firstrow))),0,IF(OFFSET(PLE!$G$14,$M48,BG$13)="",10^12,OFFSET(PLE!$G$14,$M48,BG$13))))</f>
        <v>0</v>
      </c>
    </row>
    <row r="49" spans="1:59" ht="25.5" x14ac:dyDescent="0.2">
      <c r="A49" s="7">
        <f t="shared" ca="1" si="10"/>
        <v>7</v>
      </c>
      <c r="B49" s="7" t="str">
        <f ca="1">OFFSET(ORÇAMENTO!C$15,ROW(B49)-ROW(B$15),0)</f>
        <v>S</v>
      </c>
      <c r="C49" s="7" t="str">
        <f ca="1">OFFSET(ORÇAMENTO!L$15,ROW(C49)-ROW(C$15),0)</f>
        <v/>
      </c>
      <c r="D49" s="118" t="str">
        <f ca="1">OFFSET(ORÇAMENTO!N$15,ROW(D49)-ROW(D$15),0)</f>
        <v>Serviço</v>
      </c>
      <c r="E49" s="119" t="str">
        <f ca="1">OFFSET(ORÇAMENTO!O$15,ROW(E49)-ROW(E$15),0)</f>
        <v>-</v>
      </c>
      <c r="F49" s="171" t="str">
        <f ca="1">OFFSET(ORÇAMENTO!R$15,ROW(F49)-ROW(F$15),0)</f>
        <v>(abra o arquivo 'Referência 04-2024.xls)</v>
      </c>
      <c r="G49" s="172" t="str">
        <f ca="1">IF($D49&lt;&gt;"Serviço","",OFFSET(ORÇAMENTO!S$15,ROW(G49)-ROW(G$15),0))</f>
        <v>-</v>
      </c>
      <c r="H49" s="124">
        <f ca="1">IF($D49&lt;&gt;"Serviço",0,IF(ACOMPANHAMENTO="BM",ROUND(OFFSET(ORÇAMENTO!AJ$15,ROW(H49)-ROW(H$15),0),15-13*ORÇAMENTO!$AF$7),SUMPRODUCT(($Q$12:$AA$12&lt;&gt;"")*ROUND($Q49:$AA49,15-13*ORÇAMENTO!$AF$7))))</f>
        <v>2</v>
      </c>
      <c r="I49" s="561" t="s">
        <v>467</v>
      </c>
      <c r="K49" s="173" t="s">
        <v>494</v>
      </c>
      <c r="L49" s="174" t="s">
        <v>257</v>
      </c>
      <c r="M49" s="175">
        <f ca="1">IF($D49&lt;&gt;"Serviço","",IF(AUTOEVENTO="manual",$A49,IF(ISERROR(MATCH($A49,$A$15:OFFSET($A49,-1,0),0)),MAX($M$15:OFFSET(M49,-1,0))+1,INDEX($M$15:OFFSET(M49,-1,0),MATCH($A49,$A$15:OFFSET($A49,-1,0),0)))))</f>
        <v>7</v>
      </c>
      <c r="N49" s="176" t="str">
        <f ca="1">IF($D49&lt;&gt;"Serviço","",IF(AUTOEVENTO="Manual",IF($A49=0,"&lt;-- defina o número do agrupador",OFFSET(EVENTOS!$D$14,$A49,0)),OFFSET($F$15,$A49,0)))</f>
        <v xml:space="preserve">Sinalização Vertical </v>
      </c>
      <c r="O49" s="177"/>
      <c r="Q49" s="177"/>
      <c r="R49" s="178">
        <v>1</v>
      </c>
      <c r="S49" s="178">
        <v>1</v>
      </c>
      <c r="T49" s="178"/>
      <c r="U49" s="178"/>
      <c r="V49" s="178"/>
      <c r="W49" s="178"/>
      <c r="X49" s="178"/>
      <c r="Y49" s="178"/>
      <c r="Z49" s="179"/>
      <c r="AB49" s="544">
        <f ca="1">IF(AND($D49="Serviço",AB$12&lt;&gt;0,$H49&gt;0,OR(AUTOEVENTO&lt;&gt;"manual",$M49&lt;&gt;1)),ROUND(OFFSET($P49,0,AB$13),15-13*ORÇAMENTO!$AF$7)/$H49*OFFSET(ORÇAMENTO!$X$15,ROW(AB49)-ROW(AB$15),0),0)</f>
        <v>0</v>
      </c>
      <c r="AC49" s="545">
        <f ca="1">IF(AND($D49="Serviço",AC$12&lt;&gt;0,$H49&gt;0,OR(AUTOEVENTO&lt;&gt;"manual",$M49&lt;&gt;1)),ROUND(OFFSET($P49,0,AC$13),15-13*ORÇAMENTO!$AF$7)/$H49*OFFSET(ORÇAMENTO!$X$15,ROW(AC49)-ROW(AC$15),0),0)</f>
        <v>0</v>
      </c>
      <c r="AD49" s="545">
        <f ca="1">IF(AND($D49="Serviço",AD$12&lt;&gt;0,$H49&gt;0,OR(AUTOEVENTO&lt;&gt;"manual",$M49&lt;&gt;1)),ROUND(OFFSET($P49,0,AD$13),15-13*ORÇAMENTO!$AF$7)/$H49*OFFSET(ORÇAMENTO!$X$15,ROW(AD49)-ROW(AD$15),0),0)</f>
        <v>0</v>
      </c>
      <c r="AE49" s="545">
        <f ca="1">IF(AND($D49="Serviço",AE$12&lt;&gt;0,$H49&gt;0,OR(AUTOEVENTO&lt;&gt;"manual",$M49&lt;&gt;1)),ROUND(OFFSET($P49,0,AE$13),15-13*ORÇAMENTO!$AF$7)/$H49*OFFSET(ORÇAMENTO!$X$15,ROW(AE49)-ROW(AE$15),0),0)</f>
        <v>0</v>
      </c>
      <c r="AF49" s="545">
        <f ca="1">IF(AND($D49="Serviço",AF$12&lt;&gt;0,$H49&gt;0,OR(AUTOEVENTO&lt;&gt;"manual",$M49&lt;&gt;1)),ROUND(OFFSET($P49,0,AF$13),15-13*ORÇAMENTO!$AF$7)/$H49*OFFSET(ORÇAMENTO!$X$15,ROW(AF49)-ROW(AF$15),0),0)</f>
        <v>0</v>
      </c>
      <c r="AG49" s="545">
        <f ca="1">IF(AND($D49="Serviço",AG$12&lt;&gt;0,$H49&gt;0,OR(AUTOEVENTO&lt;&gt;"manual",$M49&lt;&gt;1)),ROUND(OFFSET($P49,0,AG$13),15-13*ORÇAMENTO!$AF$7)/$H49*OFFSET(ORÇAMENTO!$X$15,ROW(AG49)-ROW(AG$15),0),0)</f>
        <v>0</v>
      </c>
      <c r="AH49" s="545">
        <f ca="1">IF(AND($D49="Serviço",AH$12&lt;&gt;0,$H49&gt;0,OR(AUTOEVENTO&lt;&gt;"manual",$M49&lt;&gt;1)),ROUND(OFFSET($P49,0,AH$13),15-13*ORÇAMENTO!$AF$7)/$H49*OFFSET(ORÇAMENTO!$X$15,ROW(AH49)-ROW(AH$15),0),0)</f>
        <v>0</v>
      </c>
      <c r="AI49" s="545">
        <f ca="1">IF(AND($D49="Serviço",AI$12&lt;&gt;0,$H49&gt;0,OR(AUTOEVENTO&lt;&gt;"manual",$M49&lt;&gt;1)),ROUND(OFFSET($P49,0,AI$13),15-13*ORÇAMENTO!$AF$7)/$H49*OFFSET(ORÇAMENTO!$X$15,ROW(AI49)-ROW(AI$15),0),0)</f>
        <v>0</v>
      </c>
      <c r="AJ49" s="545">
        <f ca="1">IF(AND($D49="Serviço",AJ$12&lt;&gt;0,$H49&gt;0,OR(AUTOEVENTO&lt;&gt;"manual",$M49&lt;&gt;1)),ROUND(OFFSET($P49,0,AJ$13),15-13*ORÇAMENTO!$AF$7)/$H49*OFFSET(ORÇAMENTO!$X$15,ROW(AJ49)-ROW(AJ$15),0),0)</f>
        <v>0</v>
      </c>
      <c r="AK49" s="546">
        <f ca="1">IF(AND($D49="Serviço",AK$12&lt;&gt;0,$H49&gt;0,OR(AUTOEVENTO&lt;&gt;"manual",$M49&lt;&gt;1)),ROUND(OFFSET($P49,0,AK$13),15-13*ORÇAMENTO!$AF$7)/$H49*OFFSET(ORÇAMENTO!$X$15,ROW(AK49)-ROW(AK$15),0),0)</f>
        <v>0</v>
      </c>
      <c r="AM49" s="180">
        <f ca="1">IF($D49&lt;&gt;"Serviço",0,IF(AND(AUTOEVENTO="Manual",$M49=1),0,IF(OFFSET(CRONOPLE!$F$14,$M49,AM$13)="",10^12,OFFSET(CRONOPLE!$F$14,$M49,AM$13))))</f>
        <v>1000000000000</v>
      </c>
      <c r="AN49" s="180">
        <f ca="1">IF($D49&lt;&gt;"Serviço",0,IF(AND(AUTOEVENTO="Manual",$M49=1),0,IF(OFFSET(CRONOPLE!$F$14,$M49,AN$13)="",10^12,OFFSET(CRONOPLE!$F$14,$M49,AN$13))))</f>
        <v>4</v>
      </c>
      <c r="AO49" s="180">
        <f ca="1">IF($D49&lt;&gt;"Serviço",0,IF(AND(AUTOEVENTO="Manual",$M49=1),0,IF(OFFSET(CRONOPLE!$F$14,$M49,AO$13)="",10^12,OFFSET(CRONOPLE!$F$14,$M49,AO$13))))</f>
        <v>4</v>
      </c>
      <c r="AP49" s="180">
        <f ca="1">IF($D49&lt;&gt;"Serviço",0,IF(AND(AUTOEVENTO="Manual",$M49=1),0,IF(OFFSET(CRONOPLE!$F$14,$M49,AP$13)="",10^12,OFFSET(CRONOPLE!$F$14,$M49,AP$13))))</f>
        <v>1000000000000</v>
      </c>
      <c r="AQ49" s="180">
        <f ca="1">IF($D49&lt;&gt;"Serviço",0,IF(AND(AUTOEVENTO="Manual",$M49=1),0,IF(OFFSET(CRONOPLE!$F$14,$M49,AQ$13)="",10^12,OFFSET(CRONOPLE!$F$14,$M49,AQ$13))))</f>
        <v>1000000000000</v>
      </c>
      <c r="AR49" s="180">
        <f ca="1">IF($D49&lt;&gt;"Serviço",0,IF(AND(AUTOEVENTO="Manual",$M49=1),0,IF(OFFSET(CRONOPLE!$F$14,$M49,AR$13)="",10^12,OFFSET(CRONOPLE!$F$14,$M49,AR$13))))</f>
        <v>1000000000000</v>
      </c>
      <c r="AS49" s="180">
        <f ca="1">IF($D49&lt;&gt;"Serviço",0,IF(AND(AUTOEVENTO="Manual",$M49=1),0,IF(OFFSET(CRONOPLE!$F$14,$M49,AS$13)="",10^12,OFFSET(CRONOPLE!$F$14,$M49,AS$13))))</f>
        <v>1000000000000</v>
      </c>
      <c r="AT49" s="180">
        <f ca="1">IF($D49&lt;&gt;"Serviço",0,IF(AND(AUTOEVENTO="Manual",$M49=1),0,IF(OFFSET(CRONOPLE!$F$14,$M49,AT$13)="",10^12,OFFSET(CRONOPLE!$F$14,$M49,AT$13))))</f>
        <v>1000000000000</v>
      </c>
      <c r="AU49" s="180">
        <f ca="1">IF($D49&lt;&gt;"Serviço",0,IF(AND(AUTOEVENTO="Manual",$M49=1),0,IF(OFFSET(CRONOPLE!$F$14,$M49,AU$13)="",10^12,OFFSET(CRONOPLE!$F$14,$M49,AU$13))))</f>
        <v>1000000000000</v>
      </c>
      <c r="AV49" s="180">
        <f ca="1">IF($D49&lt;&gt;"Serviço",0,IF(AND(AUTOEVENTO="Manual",$M49=1),0,IF(OFFSET(CRONOPLE!$F$14,$M49,AV$13)="",10^12,OFFSET(CRONOPLE!$F$14,$M49,AV$13))))</f>
        <v>1000000000000</v>
      </c>
      <c r="AX49" s="181">
        <f ca="1">IF($D49&lt;&gt;"Serviço",0,IF(OR(AND(AUTOEVENTO="Manual",$M49=1),$M49&gt;(ROW(PLE.lastrow)-ROW(PLE.firstrow))),0,IF(OFFSET(PLE!$G$14,$M49,AX$13)="",10^12,OFFSET(PLE!$G$14,$M49,AX$13))))</f>
        <v>1000000000000</v>
      </c>
      <c r="AY49" s="181">
        <f ca="1">IF($D49&lt;&gt;"Serviço",0,IF(OR(AND(AUTOEVENTO="Manual",$M49=1),$M49&gt;(ROW(PLE.lastrow)-ROW(PLE.firstrow))),0,IF(OFFSET(PLE!$G$14,$M49,AY$13)="",10^12,OFFSET(PLE!$G$14,$M49,AY$13))))</f>
        <v>1000000000000</v>
      </c>
      <c r="AZ49" s="181">
        <f ca="1">IF($D49&lt;&gt;"Serviço",0,IF(OR(AND(AUTOEVENTO="Manual",$M49=1),$M49&gt;(ROW(PLE.lastrow)-ROW(PLE.firstrow))),0,IF(OFFSET(PLE!$G$14,$M49,AZ$13)="",10^12,OFFSET(PLE!$G$14,$M49,AZ$13))))</f>
        <v>1000000000000</v>
      </c>
      <c r="BA49" s="181">
        <f ca="1">IF($D49&lt;&gt;"Serviço",0,IF(OR(AND(AUTOEVENTO="Manual",$M49=1),$M49&gt;(ROW(PLE.lastrow)-ROW(PLE.firstrow))),0,IF(OFFSET(PLE!$G$14,$M49,BA$13)="",10^12,OFFSET(PLE!$G$14,$M49,BA$13))))</f>
        <v>1000000000000</v>
      </c>
      <c r="BB49" s="181">
        <f ca="1">IF($D49&lt;&gt;"Serviço",0,IF(OR(AND(AUTOEVENTO="Manual",$M49=1),$M49&gt;(ROW(PLE.lastrow)-ROW(PLE.firstrow))),0,IF(OFFSET(PLE!$G$14,$M49,BB$13)="",10^12,OFFSET(PLE!$G$14,$M49,BB$13))))</f>
        <v>1000000000000</v>
      </c>
      <c r="BC49" s="181">
        <f ca="1">IF($D49&lt;&gt;"Serviço",0,IF(OR(AND(AUTOEVENTO="Manual",$M49=1),$M49&gt;(ROW(PLE.lastrow)-ROW(PLE.firstrow))),0,IF(OFFSET(PLE!$G$14,$M49,BC$13)="",10^12,OFFSET(PLE!$G$14,$M49,BC$13))))</f>
        <v>1000000000000</v>
      </c>
      <c r="BD49" s="181">
        <f ca="1">IF($D49&lt;&gt;"Serviço",0,IF(OR(AND(AUTOEVENTO="Manual",$M49=1),$M49&gt;(ROW(PLE.lastrow)-ROW(PLE.firstrow))),0,IF(OFFSET(PLE!$G$14,$M49,BD$13)="",10^12,OFFSET(PLE!$G$14,$M49,BD$13))))</f>
        <v>1000000000000</v>
      </c>
      <c r="BE49" s="181">
        <f ca="1">IF($D49&lt;&gt;"Serviço",0,IF(OR(AND(AUTOEVENTO="Manual",$M49=1),$M49&gt;(ROW(PLE.lastrow)-ROW(PLE.firstrow))),0,IF(OFFSET(PLE!$G$14,$M49,BE$13)="",10^12,OFFSET(PLE!$G$14,$M49,BE$13))))</f>
        <v>1000000000000</v>
      </c>
      <c r="BF49" s="181">
        <f ca="1">IF($D49&lt;&gt;"Serviço",0,IF(OR(AND(AUTOEVENTO="Manual",$M49=1),$M49&gt;(ROW(PLE.lastrow)-ROW(PLE.firstrow))),0,IF(OFFSET(PLE!$G$14,$M49,BF$13)="",10^12,OFFSET(PLE!$G$14,$M49,BF$13))))</f>
        <v>1000000000000</v>
      </c>
      <c r="BG49" s="181">
        <f ca="1">IF($D49&lt;&gt;"Serviço",0,IF(OR(AND(AUTOEVENTO="Manual",$M49=1),$M49&gt;(ROW(PLE.lastrow)-ROW(PLE.firstrow))),0,IF(OFFSET(PLE!$G$14,$M49,BG$13)="",10^12,OFFSET(PLE!$G$14,$M49,BG$13))))</f>
        <v>1000000000000</v>
      </c>
    </row>
    <row r="50" spans="1:59" s="587" customFormat="1" ht="25.5" x14ac:dyDescent="0.2">
      <c r="A50" s="7">
        <f t="shared" ca="1" si="10"/>
        <v>7</v>
      </c>
      <c r="B50" s="7" t="str">
        <f ca="1">OFFSET(ORÇAMENTO!C$15,ROW(B50)-ROW(B$15),0)</f>
        <v>S</v>
      </c>
      <c r="C50" s="7" t="str">
        <f ca="1">OFFSET(ORÇAMENTO!L$15,ROW(C50)-ROW(C$15),0)</f>
        <v/>
      </c>
      <c r="D50" s="118" t="str">
        <f ca="1">OFFSET(ORÇAMENTO!N$15,ROW(D50)-ROW(D$15),0)</f>
        <v>Serviço</v>
      </c>
      <c r="E50" s="119" t="str">
        <f ca="1">OFFSET(ORÇAMENTO!O$15,ROW(E50)-ROW(E$15),0)</f>
        <v>-</v>
      </c>
      <c r="F50" s="171" t="str">
        <f ca="1">OFFSET(ORÇAMENTO!R$15,ROW(F50)-ROW(F$15),0)</f>
        <v>(abra o arquivo 'Referência 04-2024.xls)</v>
      </c>
      <c r="G50" s="172" t="str">
        <f ca="1">IF($D50&lt;&gt;"Serviço","",OFFSET(ORÇAMENTO!S$15,ROW(G50)-ROW(G$15),0))</f>
        <v>-</v>
      </c>
      <c r="H50" s="124">
        <f ca="1">IF($D50&lt;&gt;"Serviço",0,IF(ACOMPANHAMENTO="BM",ROUND(OFFSET(ORÇAMENTO!AJ$15,ROW(H50)-ROW(H$15),0),15-13*ORÇAMENTO!$AF$7),SUMPRODUCT(($Q$12:$AA$12&lt;&gt;"")*ROUND($Q50:$AA50,15-13*ORÇAMENTO!$AF$7))))</f>
        <v>4</v>
      </c>
      <c r="I50" s="561"/>
      <c r="K50" s="173" t="s">
        <v>494</v>
      </c>
      <c r="L50" s="174" t="s">
        <v>257</v>
      </c>
      <c r="M50" s="175">
        <f ca="1">IF($D50&lt;&gt;"Serviço","",IF(AUTOEVENTO="manual",$A50,IF(ISERROR(MATCH($A50,$A$15:OFFSET($A50,-1,0),0)),MAX($M$15:OFFSET(M50,-1,0))+1,INDEX($M$15:OFFSET(M50,-1,0),MATCH($A50,$A$15:OFFSET($A50,-1,0),0)))))</f>
        <v>7</v>
      </c>
      <c r="N50" s="176" t="str">
        <f ca="1">IF($D50&lt;&gt;"Serviço","",IF(AUTOEVENTO="Manual",IF($A50=0,"&lt;-- defina o número do agrupador",OFFSET(EVENTOS!$D$14,$A50,0)),OFFSET($F$15,$A50,0)))</f>
        <v xml:space="preserve">Sinalização Vertical </v>
      </c>
      <c r="O50" s="177"/>
      <c r="Q50" s="177"/>
      <c r="R50" s="178"/>
      <c r="S50" s="178">
        <v>4</v>
      </c>
      <c r="T50" s="178"/>
      <c r="U50" s="178"/>
      <c r="V50" s="178"/>
      <c r="W50" s="178"/>
      <c r="X50" s="178"/>
      <c r="Y50" s="178"/>
      <c r="Z50" s="179"/>
      <c r="AB50" s="544">
        <f ca="1">IF(AND($D50="Serviço",AB$12&lt;&gt;0,$H50&gt;0,OR(AUTOEVENTO&lt;&gt;"manual",$M50&lt;&gt;1)),ROUND(OFFSET($P50,0,AB$13),15-13*ORÇAMENTO!$AF$7)/$H50*OFFSET(ORÇAMENTO!$X$15,ROW(AB50)-ROW(AB$15),0),0)</f>
        <v>0</v>
      </c>
      <c r="AC50" s="545">
        <f ca="1">IF(AND($D50="Serviço",AC$12&lt;&gt;0,$H50&gt;0,OR(AUTOEVENTO&lt;&gt;"manual",$M50&lt;&gt;1)),ROUND(OFFSET($P50,0,AC$13),15-13*ORÇAMENTO!$AF$7)/$H50*OFFSET(ORÇAMENTO!$X$15,ROW(AC50)-ROW(AC$15),0),0)</f>
        <v>0</v>
      </c>
      <c r="AD50" s="545">
        <f ca="1">IF(AND($D50="Serviço",AD$12&lt;&gt;0,$H50&gt;0,OR(AUTOEVENTO&lt;&gt;"manual",$M50&lt;&gt;1)),ROUND(OFFSET($P50,0,AD$13),15-13*ORÇAMENTO!$AF$7)/$H50*OFFSET(ORÇAMENTO!$X$15,ROW(AD50)-ROW(AD$15),0),0)</f>
        <v>0</v>
      </c>
      <c r="AE50" s="545">
        <f ca="1">IF(AND($D50="Serviço",AE$12&lt;&gt;0,$H50&gt;0,OR(AUTOEVENTO&lt;&gt;"manual",$M50&lt;&gt;1)),ROUND(OFFSET($P50,0,AE$13),15-13*ORÇAMENTO!$AF$7)/$H50*OFFSET(ORÇAMENTO!$X$15,ROW(AE50)-ROW(AE$15),0),0)</f>
        <v>0</v>
      </c>
      <c r="AF50" s="545">
        <f ca="1">IF(AND($D50="Serviço",AF$12&lt;&gt;0,$H50&gt;0,OR(AUTOEVENTO&lt;&gt;"manual",$M50&lt;&gt;1)),ROUND(OFFSET($P50,0,AF$13),15-13*ORÇAMENTO!$AF$7)/$H50*OFFSET(ORÇAMENTO!$X$15,ROW(AF50)-ROW(AF$15),0),0)</f>
        <v>0</v>
      </c>
      <c r="AG50" s="545">
        <f ca="1">IF(AND($D50="Serviço",AG$12&lt;&gt;0,$H50&gt;0,OR(AUTOEVENTO&lt;&gt;"manual",$M50&lt;&gt;1)),ROUND(OFFSET($P50,0,AG$13),15-13*ORÇAMENTO!$AF$7)/$H50*OFFSET(ORÇAMENTO!$X$15,ROW(AG50)-ROW(AG$15),0),0)</f>
        <v>0</v>
      </c>
      <c r="AH50" s="545">
        <f ca="1">IF(AND($D50="Serviço",AH$12&lt;&gt;0,$H50&gt;0,OR(AUTOEVENTO&lt;&gt;"manual",$M50&lt;&gt;1)),ROUND(OFFSET($P50,0,AH$13),15-13*ORÇAMENTO!$AF$7)/$H50*OFFSET(ORÇAMENTO!$X$15,ROW(AH50)-ROW(AH$15),0),0)</f>
        <v>0</v>
      </c>
      <c r="AI50" s="545">
        <f ca="1">IF(AND($D50="Serviço",AI$12&lt;&gt;0,$H50&gt;0,OR(AUTOEVENTO&lt;&gt;"manual",$M50&lt;&gt;1)),ROUND(OFFSET($P50,0,AI$13),15-13*ORÇAMENTO!$AF$7)/$H50*OFFSET(ORÇAMENTO!$X$15,ROW(AI50)-ROW(AI$15),0),0)</f>
        <v>0</v>
      </c>
      <c r="AJ50" s="545">
        <f ca="1">IF(AND($D50="Serviço",AJ$12&lt;&gt;0,$H50&gt;0,OR(AUTOEVENTO&lt;&gt;"manual",$M50&lt;&gt;1)),ROUND(OFFSET($P50,0,AJ$13),15-13*ORÇAMENTO!$AF$7)/$H50*OFFSET(ORÇAMENTO!$X$15,ROW(AJ50)-ROW(AJ$15),0),0)</f>
        <v>0</v>
      </c>
      <c r="AK50" s="546">
        <f ca="1">IF(AND($D50="Serviço",AK$12&lt;&gt;0,$H50&gt;0,OR(AUTOEVENTO&lt;&gt;"manual",$M50&lt;&gt;1)),ROUND(OFFSET($P50,0,AK$13),15-13*ORÇAMENTO!$AF$7)/$H50*OFFSET(ORÇAMENTO!$X$15,ROW(AK50)-ROW(AK$15),0),0)</f>
        <v>0</v>
      </c>
      <c r="AM50" s="180">
        <f ca="1">IF($D50&lt;&gt;"Serviço",0,IF(AND(AUTOEVENTO="Manual",$M50=1),0,IF(OFFSET(CRONOPLE!$F$14,$M50,AM$13)="",10^12,OFFSET(CRONOPLE!$F$14,$M50,AM$13))))</f>
        <v>1000000000000</v>
      </c>
      <c r="AN50" s="180">
        <f ca="1">IF($D50&lt;&gt;"Serviço",0,IF(AND(AUTOEVENTO="Manual",$M50=1),0,IF(OFFSET(CRONOPLE!$F$14,$M50,AN$13)="",10^12,OFFSET(CRONOPLE!$F$14,$M50,AN$13))))</f>
        <v>4</v>
      </c>
      <c r="AO50" s="180">
        <f ca="1">IF($D50&lt;&gt;"Serviço",0,IF(AND(AUTOEVENTO="Manual",$M50=1),0,IF(OFFSET(CRONOPLE!$F$14,$M50,AO$13)="",10^12,OFFSET(CRONOPLE!$F$14,$M50,AO$13))))</f>
        <v>4</v>
      </c>
      <c r="AP50" s="180">
        <f ca="1">IF($D50&lt;&gt;"Serviço",0,IF(AND(AUTOEVENTO="Manual",$M50=1),0,IF(OFFSET(CRONOPLE!$F$14,$M50,AP$13)="",10^12,OFFSET(CRONOPLE!$F$14,$M50,AP$13))))</f>
        <v>1000000000000</v>
      </c>
      <c r="AQ50" s="180">
        <f ca="1">IF($D50&lt;&gt;"Serviço",0,IF(AND(AUTOEVENTO="Manual",$M50=1),0,IF(OFFSET(CRONOPLE!$F$14,$M50,AQ$13)="",10^12,OFFSET(CRONOPLE!$F$14,$M50,AQ$13))))</f>
        <v>1000000000000</v>
      </c>
      <c r="AR50" s="180">
        <f ca="1">IF($D50&lt;&gt;"Serviço",0,IF(AND(AUTOEVENTO="Manual",$M50=1),0,IF(OFFSET(CRONOPLE!$F$14,$M50,AR$13)="",10^12,OFFSET(CRONOPLE!$F$14,$M50,AR$13))))</f>
        <v>1000000000000</v>
      </c>
      <c r="AS50" s="180">
        <f ca="1">IF($D50&lt;&gt;"Serviço",0,IF(AND(AUTOEVENTO="Manual",$M50=1),0,IF(OFFSET(CRONOPLE!$F$14,$M50,AS$13)="",10^12,OFFSET(CRONOPLE!$F$14,$M50,AS$13))))</f>
        <v>1000000000000</v>
      </c>
      <c r="AT50" s="180">
        <f ca="1">IF($D50&lt;&gt;"Serviço",0,IF(AND(AUTOEVENTO="Manual",$M50=1),0,IF(OFFSET(CRONOPLE!$F$14,$M50,AT$13)="",10^12,OFFSET(CRONOPLE!$F$14,$M50,AT$13))))</f>
        <v>1000000000000</v>
      </c>
      <c r="AU50" s="180">
        <f ca="1">IF($D50&lt;&gt;"Serviço",0,IF(AND(AUTOEVENTO="Manual",$M50=1),0,IF(OFFSET(CRONOPLE!$F$14,$M50,AU$13)="",10^12,OFFSET(CRONOPLE!$F$14,$M50,AU$13))))</f>
        <v>1000000000000</v>
      </c>
      <c r="AV50" s="180">
        <f ca="1">IF($D50&lt;&gt;"Serviço",0,IF(AND(AUTOEVENTO="Manual",$M50=1),0,IF(OFFSET(CRONOPLE!$F$14,$M50,AV$13)="",10^12,OFFSET(CRONOPLE!$F$14,$M50,AV$13))))</f>
        <v>1000000000000</v>
      </c>
      <c r="AX50" s="181">
        <f ca="1">IF($D50&lt;&gt;"Serviço",0,IF(OR(AND(AUTOEVENTO="Manual",$M50=1),$M50&gt;(ROW(PLE.lastrow)-ROW(PLE.firstrow))),0,IF(OFFSET(PLE!$G$14,$M50,AX$13)="",10^12,OFFSET(PLE!$G$14,$M50,AX$13))))</f>
        <v>1000000000000</v>
      </c>
      <c r="AY50" s="181">
        <f ca="1">IF($D50&lt;&gt;"Serviço",0,IF(OR(AND(AUTOEVENTO="Manual",$M50=1),$M50&gt;(ROW(PLE.lastrow)-ROW(PLE.firstrow))),0,IF(OFFSET(PLE!$G$14,$M50,AY$13)="",10^12,OFFSET(PLE!$G$14,$M50,AY$13))))</f>
        <v>1000000000000</v>
      </c>
      <c r="AZ50" s="181">
        <f ca="1">IF($D50&lt;&gt;"Serviço",0,IF(OR(AND(AUTOEVENTO="Manual",$M50=1),$M50&gt;(ROW(PLE.lastrow)-ROW(PLE.firstrow))),0,IF(OFFSET(PLE!$G$14,$M50,AZ$13)="",10^12,OFFSET(PLE!$G$14,$M50,AZ$13))))</f>
        <v>1000000000000</v>
      </c>
      <c r="BA50" s="181">
        <f ca="1">IF($D50&lt;&gt;"Serviço",0,IF(OR(AND(AUTOEVENTO="Manual",$M50=1),$M50&gt;(ROW(PLE.lastrow)-ROW(PLE.firstrow))),0,IF(OFFSET(PLE!$G$14,$M50,BA$13)="",10^12,OFFSET(PLE!$G$14,$M50,BA$13))))</f>
        <v>1000000000000</v>
      </c>
      <c r="BB50" s="181">
        <f ca="1">IF($D50&lt;&gt;"Serviço",0,IF(OR(AND(AUTOEVENTO="Manual",$M50=1),$M50&gt;(ROW(PLE.lastrow)-ROW(PLE.firstrow))),0,IF(OFFSET(PLE!$G$14,$M50,BB$13)="",10^12,OFFSET(PLE!$G$14,$M50,BB$13))))</f>
        <v>1000000000000</v>
      </c>
      <c r="BC50" s="181">
        <f ca="1">IF($D50&lt;&gt;"Serviço",0,IF(OR(AND(AUTOEVENTO="Manual",$M50=1),$M50&gt;(ROW(PLE.lastrow)-ROW(PLE.firstrow))),0,IF(OFFSET(PLE!$G$14,$M50,BC$13)="",10^12,OFFSET(PLE!$G$14,$M50,BC$13))))</f>
        <v>1000000000000</v>
      </c>
      <c r="BD50" s="181">
        <f ca="1">IF($D50&lt;&gt;"Serviço",0,IF(OR(AND(AUTOEVENTO="Manual",$M50=1),$M50&gt;(ROW(PLE.lastrow)-ROW(PLE.firstrow))),0,IF(OFFSET(PLE!$G$14,$M50,BD$13)="",10^12,OFFSET(PLE!$G$14,$M50,BD$13))))</f>
        <v>1000000000000</v>
      </c>
      <c r="BE50" s="181">
        <f ca="1">IF($D50&lt;&gt;"Serviço",0,IF(OR(AND(AUTOEVENTO="Manual",$M50=1),$M50&gt;(ROW(PLE.lastrow)-ROW(PLE.firstrow))),0,IF(OFFSET(PLE!$G$14,$M50,BE$13)="",10^12,OFFSET(PLE!$G$14,$M50,BE$13))))</f>
        <v>1000000000000</v>
      </c>
      <c r="BF50" s="181">
        <f ca="1">IF($D50&lt;&gt;"Serviço",0,IF(OR(AND(AUTOEVENTO="Manual",$M50=1),$M50&gt;(ROW(PLE.lastrow)-ROW(PLE.firstrow))),0,IF(OFFSET(PLE!$G$14,$M50,BF$13)="",10^12,OFFSET(PLE!$G$14,$M50,BF$13))))</f>
        <v>1000000000000</v>
      </c>
      <c r="BG50" s="181">
        <f ca="1">IF($D50&lt;&gt;"Serviço",0,IF(OR(AND(AUTOEVENTO="Manual",$M50=1),$M50&gt;(ROW(PLE.lastrow)-ROW(PLE.firstrow))),0,IF(OFFSET(PLE!$G$14,$M50,BG$13)="",10^12,OFFSET(PLE!$G$14,$M50,BG$13))))</f>
        <v>1000000000000</v>
      </c>
    </row>
    <row r="51" spans="1:59" s="587" customFormat="1" ht="25.5" x14ac:dyDescent="0.2">
      <c r="A51" s="7">
        <f t="shared" ca="1" si="10"/>
        <v>7</v>
      </c>
      <c r="B51" s="7" t="str">
        <f ca="1">OFFSET(ORÇAMENTO!C$15,ROW(B51)-ROW(B$15),0)</f>
        <v>S</v>
      </c>
      <c r="C51" s="7" t="str">
        <f ca="1">OFFSET(ORÇAMENTO!L$15,ROW(C51)-ROW(C$15),0)</f>
        <v/>
      </c>
      <c r="D51" s="118" t="str">
        <f ca="1">OFFSET(ORÇAMENTO!N$15,ROW(D51)-ROW(D$15),0)</f>
        <v>Serviço</v>
      </c>
      <c r="E51" s="119" t="str">
        <f ca="1">OFFSET(ORÇAMENTO!O$15,ROW(E51)-ROW(E$15),0)</f>
        <v>-</v>
      </c>
      <c r="F51" s="171" t="str">
        <f ca="1">OFFSET(ORÇAMENTO!R$15,ROW(F51)-ROW(F$15),0)</f>
        <v>(abra o arquivo 'Referência 04-2024.xls)</v>
      </c>
      <c r="G51" s="172" t="str">
        <f ca="1">IF($D51&lt;&gt;"Serviço","",OFFSET(ORÇAMENTO!S$15,ROW(G51)-ROW(G$15),0))</f>
        <v>-</v>
      </c>
      <c r="H51" s="124">
        <f ca="1">IF($D51&lt;&gt;"Serviço",0,IF(ACOMPANHAMENTO="BM",ROUND(OFFSET(ORÇAMENTO!AJ$15,ROW(H51)-ROW(H$15),0),15-13*ORÇAMENTO!$AF$7),SUMPRODUCT(($Q$12:$AA$12&lt;&gt;"")*ROUND($Q51:$AA51,15-13*ORÇAMENTO!$AF$7))))</f>
        <v>2</v>
      </c>
      <c r="I51" s="561"/>
      <c r="K51" s="173" t="s">
        <v>494</v>
      </c>
      <c r="L51" s="174" t="s">
        <v>257</v>
      </c>
      <c r="M51" s="175">
        <f ca="1">IF($D51&lt;&gt;"Serviço","",IF(AUTOEVENTO="manual",$A51,IF(ISERROR(MATCH($A51,$A$15:OFFSET($A51,-1,0),0)),MAX($M$15:OFFSET(M51,-1,0))+1,INDEX($M$15:OFFSET(M51,-1,0),MATCH($A51,$A$15:OFFSET($A51,-1,0),0)))))</f>
        <v>7</v>
      </c>
      <c r="N51" s="176" t="str">
        <f ca="1">IF($D51&lt;&gt;"Serviço","",IF(AUTOEVENTO="Manual",IF($A51=0,"&lt;-- defina o número do agrupador",OFFSET(EVENTOS!$D$14,$A51,0)),OFFSET($F$15,$A51,0)))</f>
        <v xml:space="preserve">Sinalização Vertical </v>
      </c>
      <c r="O51" s="177"/>
      <c r="Q51" s="177"/>
      <c r="R51" s="178"/>
      <c r="S51" s="178">
        <v>2</v>
      </c>
      <c r="T51" s="178"/>
      <c r="U51" s="178"/>
      <c r="V51" s="178"/>
      <c r="W51" s="178"/>
      <c r="X51" s="178"/>
      <c r="Y51" s="178"/>
      <c r="Z51" s="179"/>
      <c r="AB51" s="544">
        <f ca="1">IF(AND($D51="Serviço",AB$12&lt;&gt;0,$H51&gt;0,OR(AUTOEVENTO&lt;&gt;"manual",$M51&lt;&gt;1)),ROUND(OFFSET($P51,0,AB$13),15-13*ORÇAMENTO!$AF$7)/$H51*OFFSET(ORÇAMENTO!$X$15,ROW(AB51)-ROW(AB$15),0),0)</f>
        <v>0</v>
      </c>
      <c r="AC51" s="545">
        <f ca="1">IF(AND($D51="Serviço",AC$12&lt;&gt;0,$H51&gt;0,OR(AUTOEVENTO&lt;&gt;"manual",$M51&lt;&gt;1)),ROUND(OFFSET($P51,0,AC$13),15-13*ORÇAMENTO!$AF$7)/$H51*OFFSET(ORÇAMENTO!$X$15,ROW(AC51)-ROW(AC$15),0),0)</f>
        <v>0</v>
      </c>
      <c r="AD51" s="545">
        <f ca="1">IF(AND($D51="Serviço",AD$12&lt;&gt;0,$H51&gt;0,OR(AUTOEVENTO&lt;&gt;"manual",$M51&lt;&gt;1)),ROUND(OFFSET($P51,0,AD$13),15-13*ORÇAMENTO!$AF$7)/$H51*OFFSET(ORÇAMENTO!$X$15,ROW(AD51)-ROW(AD$15),0),0)</f>
        <v>0</v>
      </c>
      <c r="AE51" s="545">
        <f ca="1">IF(AND($D51="Serviço",AE$12&lt;&gt;0,$H51&gt;0,OR(AUTOEVENTO&lt;&gt;"manual",$M51&lt;&gt;1)),ROUND(OFFSET($P51,0,AE$13),15-13*ORÇAMENTO!$AF$7)/$H51*OFFSET(ORÇAMENTO!$X$15,ROW(AE51)-ROW(AE$15),0),0)</f>
        <v>0</v>
      </c>
      <c r="AF51" s="545">
        <f ca="1">IF(AND($D51="Serviço",AF$12&lt;&gt;0,$H51&gt;0,OR(AUTOEVENTO&lt;&gt;"manual",$M51&lt;&gt;1)),ROUND(OFFSET($P51,0,AF$13),15-13*ORÇAMENTO!$AF$7)/$H51*OFFSET(ORÇAMENTO!$X$15,ROW(AF51)-ROW(AF$15),0),0)</f>
        <v>0</v>
      </c>
      <c r="AG51" s="545">
        <f ca="1">IF(AND($D51="Serviço",AG$12&lt;&gt;0,$H51&gt;0,OR(AUTOEVENTO&lt;&gt;"manual",$M51&lt;&gt;1)),ROUND(OFFSET($P51,0,AG$13),15-13*ORÇAMENTO!$AF$7)/$H51*OFFSET(ORÇAMENTO!$X$15,ROW(AG51)-ROW(AG$15),0),0)</f>
        <v>0</v>
      </c>
      <c r="AH51" s="545">
        <f ca="1">IF(AND($D51="Serviço",AH$12&lt;&gt;0,$H51&gt;0,OR(AUTOEVENTO&lt;&gt;"manual",$M51&lt;&gt;1)),ROUND(OFFSET($P51,0,AH$13),15-13*ORÇAMENTO!$AF$7)/$H51*OFFSET(ORÇAMENTO!$X$15,ROW(AH51)-ROW(AH$15),0),0)</f>
        <v>0</v>
      </c>
      <c r="AI51" s="545">
        <f ca="1">IF(AND($D51="Serviço",AI$12&lt;&gt;0,$H51&gt;0,OR(AUTOEVENTO&lt;&gt;"manual",$M51&lt;&gt;1)),ROUND(OFFSET($P51,0,AI$13),15-13*ORÇAMENTO!$AF$7)/$H51*OFFSET(ORÇAMENTO!$X$15,ROW(AI51)-ROW(AI$15),0),0)</f>
        <v>0</v>
      </c>
      <c r="AJ51" s="545">
        <f ca="1">IF(AND($D51="Serviço",AJ$12&lt;&gt;0,$H51&gt;0,OR(AUTOEVENTO&lt;&gt;"manual",$M51&lt;&gt;1)),ROUND(OFFSET($P51,0,AJ$13),15-13*ORÇAMENTO!$AF$7)/$H51*OFFSET(ORÇAMENTO!$X$15,ROW(AJ51)-ROW(AJ$15),0),0)</f>
        <v>0</v>
      </c>
      <c r="AK51" s="546">
        <f ca="1">IF(AND($D51="Serviço",AK$12&lt;&gt;0,$H51&gt;0,OR(AUTOEVENTO&lt;&gt;"manual",$M51&lt;&gt;1)),ROUND(OFFSET($P51,0,AK$13),15-13*ORÇAMENTO!$AF$7)/$H51*OFFSET(ORÇAMENTO!$X$15,ROW(AK51)-ROW(AK$15),0),0)</f>
        <v>0</v>
      </c>
      <c r="AM51" s="180">
        <f ca="1">IF($D51&lt;&gt;"Serviço",0,IF(AND(AUTOEVENTO="Manual",$M51=1),0,IF(OFFSET(CRONOPLE!$F$14,$M51,AM$13)="",10^12,OFFSET(CRONOPLE!$F$14,$M51,AM$13))))</f>
        <v>1000000000000</v>
      </c>
      <c r="AN51" s="180">
        <f ca="1">IF($D51&lt;&gt;"Serviço",0,IF(AND(AUTOEVENTO="Manual",$M51=1),0,IF(OFFSET(CRONOPLE!$F$14,$M51,AN$13)="",10^12,OFFSET(CRONOPLE!$F$14,$M51,AN$13))))</f>
        <v>4</v>
      </c>
      <c r="AO51" s="180">
        <f ca="1">IF($D51&lt;&gt;"Serviço",0,IF(AND(AUTOEVENTO="Manual",$M51=1),0,IF(OFFSET(CRONOPLE!$F$14,$M51,AO$13)="",10^12,OFFSET(CRONOPLE!$F$14,$M51,AO$13))))</f>
        <v>4</v>
      </c>
      <c r="AP51" s="180">
        <f ca="1">IF($D51&lt;&gt;"Serviço",0,IF(AND(AUTOEVENTO="Manual",$M51=1),0,IF(OFFSET(CRONOPLE!$F$14,$M51,AP$13)="",10^12,OFFSET(CRONOPLE!$F$14,$M51,AP$13))))</f>
        <v>1000000000000</v>
      </c>
      <c r="AQ51" s="180">
        <f ca="1">IF($D51&lt;&gt;"Serviço",0,IF(AND(AUTOEVENTO="Manual",$M51=1),0,IF(OFFSET(CRONOPLE!$F$14,$M51,AQ$13)="",10^12,OFFSET(CRONOPLE!$F$14,$M51,AQ$13))))</f>
        <v>1000000000000</v>
      </c>
      <c r="AR51" s="180">
        <f ca="1">IF($D51&lt;&gt;"Serviço",0,IF(AND(AUTOEVENTO="Manual",$M51=1),0,IF(OFFSET(CRONOPLE!$F$14,$M51,AR$13)="",10^12,OFFSET(CRONOPLE!$F$14,$M51,AR$13))))</f>
        <v>1000000000000</v>
      </c>
      <c r="AS51" s="180">
        <f ca="1">IF($D51&lt;&gt;"Serviço",0,IF(AND(AUTOEVENTO="Manual",$M51=1),0,IF(OFFSET(CRONOPLE!$F$14,$M51,AS$13)="",10^12,OFFSET(CRONOPLE!$F$14,$M51,AS$13))))</f>
        <v>1000000000000</v>
      </c>
      <c r="AT51" s="180">
        <f ca="1">IF($D51&lt;&gt;"Serviço",0,IF(AND(AUTOEVENTO="Manual",$M51=1),0,IF(OFFSET(CRONOPLE!$F$14,$M51,AT$13)="",10^12,OFFSET(CRONOPLE!$F$14,$M51,AT$13))))</f>
        <v>1000000000000</v>
      </c>
      <c r="AU51" s="180">
        <f ca="1">IF($D51&lt;&gt;"Serviço",0,IF(AND(AUTOEVENTO="Manual",$M51=1),0,IF(OFFSET(CRONOPLE!$F$14,$M51,AU$13)="",10^12,OFFSET(CRONOPLE!$F$14,$M51,AU$13))))</f>
        <v>1000000000000</v>
      </c>
      <c r="AV51" s="180">
        <f ca="1">IF($D51&lt;&gt;"Serviço",0,IF(AND(AUTOEVENTO="Manual",$M51=1),0,IF(OFFSET(CRONOPLE!$F$14,$M51,AV$13)="",10^12,OFFSET(CRONOPLE!$F$14,$M51,AV$13))))</f>
        <v>1000000000000</v>
      </c>
      <c r="AX51" s="181">
        <f ca="1">IF($D51&lt;&gt;"Serviço",0,IF(OR(AND(AUTOEVENTO="Manual",$M51=1),$M51&gt;(ROW(PLE.lastrow)-ROW(PLE.firstrow))),0,IF(OFFSET(PLE!$G$14,$M51,AX$13)="",10^12,OFFSET(PLE!$G$14,$M51,AX$13))))</f>
        <v>1000000000000</v>
      </c>
      <c r="AY51" s="181">
        <f ca="1">IF($D51&lt;&gt;"Serviço",0,IF(OR(AND(AUTOEVENTO="Manual",$M51=1),$M51&gt;(ROW(PLE.lastrow)-ROW(PLE.firstrow))),0,IF(OFFSET(PLE!$G$14,$M51,AY$13)="",10^12,OFFSET(PLE!$G$14,$M51,AY$13))))</f>
        <v>1000000000000</v>
      </c>
      <c r="AZ51" s="181">
        <f ca="1">IF($D51&lt;&gt;"Serviço",0,IF(OR(AND(AUTOEVENTO="Manual",$M51=1),$M51&gt;(ROW(PLE.lastrow)-ROW(PLE.firstrow))),0,IF(OFFSET(PLE!$G$14,$M51,AZ$13)="",10^12,OFFSET(PLE!$G$14,$M51,AZ$13))))</f>
        <v>1000000000000</v>
      </c>
      <c r="BA51" s="181">
        <f ca="1">IF($D51&lt;&gt;"Serviço",0,IF(OR(AND(AUTOEVENTO="Manual",$M51=1),$M51&gt;(ROW(PLE.lastrow)-ROW(PLE.firstrow))),0,IF(OFFSET(PLE!$G$14,$M51,BA$13)="",10^12,OFFSET(PLE!$G$14,$M51,BA$13))))</f>
        <v>1000000000000</v>
      </c>
      <c r="BB51" s="181">
        <f ca="1">IF($D51&lt;&gt;"Serviço",0,IF(OR(AND(AUTOEVENTO="Manual",$M51=1),$M51&gt;(ROW(PLE.lastrow)-ROW(PLE.firstrow))),0,IF(OFFSET(PLE!$G$14,$M51,BB$13)="",10^12,OFFSET(PLE!$G$14,$M51,BB$13))))</f>
        <v>1000000000000</v>
      </c>
      <c r="BC51" s="181">
        <f ca="1">IF($D51&lt;&gt;"Serviço",0,IF(OR(AND(AUTOEVENTO="Manual",$M51=1),$M51&gt;(ROW(PLE.lastrow)-ROW(PLE.firstrow))),0,IF(OFFSET(PLE!$G$14,$M51,BC$13)="",10^12,OFFSET(PLE!$G$14,$M51,BC$13))))</f>
        <v>1000000000000</v>
      </c>
      <c r="BD51" s="181">
        <f ca="1">IF($D51&lt;&gt;"Serviço",0,IF(OR(AND(AUTOEVENTO="Manual",$M51=1),$M51&gt;(ROW(PLE.lastrow)-ROW(PLE.firstrow))),0,IF(OFFSET(PLE!$G$14,$M51,BD$13)="",10^12,OFFSET(PLE!$G$14,$M51,BD$13))))</f>
        <v>1000000000000</v>
      </c>
      <c r="BE51" s="181">
        <f ca="1">IF($D51&lt;&gt;"Serviço",0,IF(OR(AND(AUTOEVENTO="Manual",$M51=1),$M51&gt;(ROW(PLE.lastrow)-ROW(PLE.firstrow))),0,IF(OFFSET(PLE!$G$14,$M51,BE$13)="",10^12,OFFSET(PLE!$G$14,$M51,BE$13))))</f>
        <v>1000000000000</v>
      </c>
      <c r="BF51" s="181">
        <f ca="1">IF($D51&lt;&gt;"Serviço",0,IF(OR(AND(AUTOEVENTO="Manual",$M51=1),$M51&gt;(ROW(PLE.lastrow)-ROW(PLE.firstrow))),0,IF(OFFSET(PLE!$G$14,$M51,BF$13)="",10^12,OFFSET(PLE!$G$14,$M51,BF$13))))</f>
        <v>1000000000000</v>
      </c>
      <c r="BG51" s="181">
        <f ca="1">IF($D51&lt;&gt;"Serviço",0,IF(OR(AND(AUTOEVENTO="Manual",$M51=1),$M51&gt;(ROW(PLE.lastrow)-ROW(PLE.firstrow))),0,IF(OFFSET(PLE!$G$14,$M51,BG$13)="",10^12,OFFSET(PLE!$G$14,$M51,BG$13))))</f>
        <v>1000000000000</v>
      </c>
    </row>
    <row r="52" spans="1:59" ht="5.0999999999999996" customHeight="1" x14ac:dyDescent="0.2">
      <c r="B52" s="7">
        <f ca="1">OFFSET(ORÇAMENTO!C$15,ROW(B52)-ROW(B$15),0)</f>
        <v>-1</v>
      </c>
      <c r="C52" s="7" t="str">
        <f ca="1">OFFSET(ORÇAMENTO!L$15,ROW(C52)-ROW(C$15),0)</f>
        <v>F</v>
      </c>
      <c r="D52" s="483" t="s">
        <v>196</v>
      </c>
      <c r="E52" s="484"/>
      <c r="F52" s="485"/>
      <c r="G52" s="485"/>
      <c r="H52" s="485"/>
      <c r="I52" s="486"/>
      <c r="K52" s="488"/>
      <c r="L52" s="174" t="s">
        <v>257</v>
      </c>
      <c r="M52" s="489"/>
      <c r="N52" s="487"/>
      <c r="O52" s="482"/>
      <c r="Q52" s="484"/>
      <c r="R52" s="485"/>
      <c r="S52" s="485"/>
      <c r="T52" s="485"/>
      <c r="U52" s="485"/>
      <c r="V52" s="485"/>
      <c r="W52" s="485"/>
      <c r="X52" s="485"/>
      <c r="Y52" s="485"/>
      <c r="Z52" s="486"/>
      <c r="AB52" s="138"/>
      <c r="AC52" s="191"/>
      <c r="AD52" s="191"/>
      <c r="AE52" s="191"/>
      <c r="AF52" s="191"/>
      <c r="AG52" s="191"/>
      <c r="AH52" s="191"/>
      <c r="AI52" s="191"/>
      <c r="AJ52" s="191"/>
      <c r="AK52" s="139"/>
      <c r="AM52" s="138"/>
      <c r="AN52" s="191"/>
      <c r="AO52" s="191"/>
      <c r="AP52" s="191"/>
      <c r="AQ52" s="191"/>
      <c r="AR52" s="191"/>
      <c r="AS52" s="191"/>
      <c r="AT52" s="191"/>
      <c r="AU52" s="191"/>
      <c r="AV52" s="139"/>
      <c r="AX52" s="138"/>
      <c r="AY52" s="191"/>
      <c r="AZ52" s="191"/>
      <c r="BA52" s="191"/>
      <c r="BB52" s="191"/>
      <c r="BC52" s="191"/>
      <c r="BD52" s="191"/>
      <c r="BE52" s="191"/>
      <c r="BF52" s="191"/>
      <c r="BG52" s="139"/>
    </row>
    <row r="53" spans="1:59" ht="12.75" customHeight="1" x14ac:dyDescent="0.2"/>
    <row r="54" spans="1:59" ht="12.75" customHeight="1" x14ac:dyDescent="0.2"/>
    <row r="55" spans="1:59" ht="12.75" customHeight="1" x14ac:dyDescent="0.2"/>
    <row r="56" spans="1:59" ht="15" customHeight="1" x14ac:dyDescent="0.2">
      <c r="F56" s="192" t="str">
        <f>Import.Município</f>
        <v>Caçapava do Sul/RS</v>
      </c>
      <c r="I56" s="553"/>
      <c r="J56" s="553"/>
      <c r="K56" s="553"/>
      <c r="L56" s="553"/>
      <c r="M56" s="554"/>
      <c r="N56" s="479"/>
      <c r="T56" s="145"/>
      <c r="U56" s="145"/>
      <c r="V56" s="193"/>
      <c r="W56" s="193"/>
      <c r="X56" s="193"/>
      <c r="Y56" s="193"/>
    </row>
    <row r="57" spans="1:59" ht="12.75" customHeight="1" x14ac:dyDescent="0.2">
      <c r="F57" s="10" t="s">
        <v>190</v>
      </c>
      <c r="I57" s="194" t="s">
        <v>192</v>
      </c>
      <c r="J57" s="194"/>
      <c r="K57" s="194"/>
      <c r="L57" s="194"/>
      <c r="T57" s="194" t="s">
        <v>192</v>
      </c>
      <c r="U57" s="194"/>
    </row>
    <row r="58" spans="1:59" ht="12.75" customHeight="1" x14ac:dyDescent="0.2">
      <c r="I58" s="447" t="str">
        <f t="array" aca="1" ref="I58:I60" ca="1">OFFSET(Import.RespOrçamento,0,-1) &amp; " " &amp; Import.RespOrçamento</f>
        <v>Nome: Schaiane da Silva Lopes</v>
      </c>
      <c r="K58" s="80"/>
      <c r="L58" s="80"/>
      <c r="T58" s="447" t="str">
        <f t="array" aca="1" ref="T58:T60" ca="1">OFFSET(Import.RespOrçamento,0,-1) &amp; " " &amp; Import.RespOrçamento</f>
        <v>Nome: Schaiane da Silva Lopes</v>
      </c>
      <c r="U58" s="79"/>
    </row>
    <row r="59" spans="1:59" ht="12.75" customHeight="1" x14ac:dyDescent="0.2">
      <c r="F59" s="552">
        <f ca="1">DADOS!$F$25</f>
        <v>45518</v>
      </c>
      <c r="I59" s="447" t="str">
        <f ca="1"/>
        <v>CREA/CAU: RS142294-4</v>
      </c>
      <c r="K59" s="80"/>
      <c r="L59" s="80"/>
      <c r="T59" s="447" t="str">
        <f ca="1"/>
        <v>CREA/CAU: RS142294-4</v>
      </c>
      <c r="U59" s="79"/>
    </row>
    <row r="60" spans="1:59" ht="12.75" customHeight="1" x14ac:dyDescent="0.2">
      <c r="F60" s="146" t="s">
        <v>191</v>
      </c>
      <c r="I60" s="447" t="str">
        <f ca="1"/>
        <v>ART/RRT: 12377498</v>
      </c>
      <c r="K60" s="80"/>
      <c r="L60" s="80"/>
      <c r="T60" s="447" t="str">
        <f ca="1"/>
        <v>ART/RRT: 12377498</v>
      </c>
      <c r="U60" s="79"/>
    </row>
    <row r="61" spans="1:59" ht="12.75" customHeight="1" x14ac:dyDescent="0.2">
      <c r="C61"/>
      <c r="M61"/>
    </row>
    <row r="62" spans="1:59" ht="12.75" customHeight="1" x14ac:dyDescent="0.2">
      <c r="C62"/>
      <c r="M62"/>
    </row>
    <row r="63" spans="1:59" ht="12.75" customHeight="1" x14ac:dyDescent="0.2">
      <c r="C63"/>
      <c r="M63"/>
    </row>
    <row r="64" spans="1:59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303" spans="3:13" ht="12.75" customHeight="1" x14ac:dyDescent="0.2">
      <c r="C4303"/>
      <c r="M4303"/>
    </row>
    <row r="4304" spans="3:13" ht="12.75" customHeight="1" x14ac:dyDescent="0.2">
      <c r="C4304"/>
      <c r="M4304"/>
    </row>
    <row r="4305" spans="3:13" ht="12.75" customHeight="1" x14ac:dyDescent="0.2">
      <c r="C4305"/>
      <c r="M4305"/>
    </row>
    <row r="4306" spans="3:13" ht="12.75" customHeight="1" x14ac:dyDescent="0.2">
      <c r="C4306"/>
      <c r="M4306"/>
    </row>
    <row r="60964" spans="3:13" ht="12.75" customHeight="1" x14ac:dyDescent="0.2">
      <c r="C60964"/>
      <c r="M60964"/>
    </row>
    <row r="60980" spans="3:13" ht="12.75" customHeight="1" x14ac:dyDescent="0.2">
      <c r="C60980"/>
      <c r="M60980"/>
    </row>
    <row r="60996" spans="3:13" ht="12.75" customHeight="1" x14ac:dyDescent="0.2">
      <c r="C60996"/>
      <c r="M60996"/>
    </row>
    <row r="61012" spans="3:13" ht="12.75" customHeight="1" x14ac:dyDescent="0.2">
      <c r="C61012"/>
      <c r="M61012"/>
    </row>
    <row r="61025" spans="3:13" ht="12.75" customHeight="1" x14ac:dyDescent="0.2">
      <c r="C61025"/>
      <c r="M61025"/>
    </row>
    <row r="61026" spans="3:13" ht="12.75" customHeight="1" x14ac:dyDescent="0.2">
      <c r="C61026"/>
      <c r="M61026"/>
    </row>
    <row r="61028" spans="3:13" ht="12.75" customHeight="1" x14ac:dyDescent="0.2">
      <c r="C61028"/>
      <c r="M61028"/>
    </row>
    <row r="61039" spans="3:13" ht="12.75" customHeight="1" x14ac:dyDescent="0.2">
      <c r="C61039"/>
      <c r="M61039"/>
    </row>
    <row r="61040" spans="3:13" ht="12.75" customHeight="1" x14ac:dyDescent="0.2">
      <c r="C61040"/>
      <c r="M61040"/>
    </row>
    <row r="61041" spans="3:13" ht="12.75" customHeight="1" x14ac:dyDescent="0.2">
      <c r="C61041"/>
      <c r="M61041"/>
    </row>
    <row r="61042" spans="3:13" ht="12.75" customHeight="1" x14ac:dyDescent="0.2">
      <c r="C61042"/>
      <c r="M61042"/>
    </row>
    <row r="61044" spans="3:13" ht="12.75" customHeight="1" x14ac:dyDescent="0.2">
      <c r="C61044"/>
      <c r="M61044"/>
    </row>
    <row r="61055" spans="3:13" ht="12.75" customHeight="1" x14ac:dyDescent="0.2">
      <c r="C61055"/>
      <c r="M61055"/>
    </row>
    <row r="61056" spans="3:13" ht="12.75" customHeight="1" x14ac:dyDescent="0.2">
      <c r="C61056"/>
      <c r="M61056"/>
    </row>
    <row r="61057" spans="3:13" ht="12.75" customHeight="1" x14ac:dyDescent="0.2">
      <c r="C61057"/>
      <c r="M61057"/>
    </row>
    <row r="61058" spans="3:13" ht="12.75" customHeight="1" x14ac:dyDescent="0.2">
      <c r="C61058"/>
      <c r="M61058"/>
    </row>
    <row r="61060" spans="3:13" ht="12.75" customHeight="1" x14ac:dyDescent="0.2">
      <c r="C61060"/>
      <c r="M61060"/>
    </row>
    <row r="61071" spans="3:13" ht="12.75" customHeight="1" x14ac:dyDescent="0.2">
      <c r="C61071"/>
      <c r="M61071"/>
    </row>
    <row r="61072" spans="3:13" ht="12.75" customHeight="1" x14ac:dyDescent="0.2">
      <c r="C61072"/>
      <c r="M61072"/>
    </row>
    <row r="61073" spans="3:13" ht="12.75" customHeight="1" x14ac:dyDescent="0.2">
      <c r="C61073"/>
      <c r="M61073"/>
    </row>
    <row r="61074" spans="3:13" ht="12.75" customHeight="1" x14ac:dyDescent="0.2">
      <c r="C61074"/>
      <c r="M61074"/>
    </row>
    <row r="61076" spans="3:13" ht="12.75" customHeight="1" x14ac:dyDescent="0.2">
      <c r="C61076"/>
      <c r="M61076"/>
    </row>
    <row r="61087" spans="3:13" ht="12.75" customHeight="1" x14ac:dyDescent="0.2">
      <c r="C61087"/>
      <c r="M61087"/>
    </row>
    <row r="61088" spans="3:13" ht="12.75" customHeight="1" x14ac:dyDescent="0.2">
      <c r="C61088"/>
      <c r="M61088"/>
    </row>
    <row r="61089" spans="3:13" ht="12.75" customHeight="1" x14ac:dyDescent="0.2">
      <c r="C61089"/>
      <c r="M61089"/>
    </row>
    <row r="61090" spans="3:13" ht="12.75" customHeight="1" x14ac:dyDescent="0.2">
      <c r="C61090"/>
      <c r="M61090"/>
    </row>
    <row r="61092" spans="3:13" ht="12.75" customHeight="1" x14ac:dyDescent="0.2">
      <c r="C61092"/>
      <c r="M61092"/>
    </row>
    <row r="61103" spans="3:13" ht="12.75" customHeight="1" x14ac:dyDescent="0.2">
      <c r="C61103"/>
      <c r="M61103"/>
    </row>
    <row r="61104" spans="3:13" ht="12.75" customHeight="1" x14ac:dyDescent="0.2">
      <c r="C61104"/>
      <c r="M61104"/>
    </row>
    <row r="61105" spans="3:13" ht="12.75" customHeight="1" x14ac:dyDescent="0.2">
      <c r="C61105"/>
      <c r="M61105"/>
    </row>
    <row r="61106" spans="3:13" ht="12.75" customHeight="1" x14ac:dyDescent="0.2">
      <c r="C61106"/>
      <c r="M61106"/>
    </row>
    <row r="61108" spans="3:13" ht="12.75" customHeight="1" x14ac:dyDescent="0.2">
      <c r="C61108"/>
      <c r="M61108"/>
    </row>
    <row r="61119" spans="3:13" ht="12.75" customHeight="1" x14ac:dyDescent="0.2">
      <c r="C61119"/>
      <c r="M61119"/>
    </row>
    <row r="61120" spans="3:13" ht="12.75" customHeight="1" x14ac:dyDescent="0.2">
      <c r="C61120"/>
      <c r="M61120"/>
    </row>
    <row r="61121" spans="3:13" ht="12.75" customHeight="1" x14ac:dyDescent="0.2">
      <c r="C61121"/>
      <c r="M61121"/>
    </row>
    <row r="61122" spans="3:13" ht="12.75" customHeight="1" x14ac:dyDescent="0.2">
      <c r="C61122"/>
      <c r="M61122"/>
    </row>
    <row r="61124" spans="3:13" ht="12.75" customHeight="1" x14ac:dyDescent="0.2">
      <c r="C61124"/>
      <c r="M61124"/>
    </row>
    <row r="61135" spans="3:13" ht="12.75" customHeight="1" x14ac:dyDescent="0.2">
      <c r="C61135"/>
      <c r="M61135"/>
    </row>
    <row r="61136" spans="3:13" ht="12.75" customHeight="1" x14ac:dyDescent="0.2">
      <c r="C61136"/>
      <c r="M61136"/>
    </row>
    <row r="61137" spans="3:13" ht="12.75" customHeight="1" x14ac:dyDescent="0.2">
      <c r="C61137"/>
      <c r="M61137"/>
    </row>
    <row r="61138" spans="3:13" ht="12.75" customHeight="1" x14ac:dyDescent="0.2">
      <c r="C61138"/>
      <c r="M61138"/>
    </row>
    <row r="61140" spans="3:13" ht="12.75" customHeight="1" x14ac:dyDescent="0.2">
      <c r="C61140"/>
      <c r="M61140"/>
    </row>
    <row r="61151" spans="3:13" ht="12.75" customHeight="1" x14ac:dyDescent="0.2">
      <c r="C61151"/>
      <c r="M61151"/>
    </row>
    <row r="61152" spans="3:13" ht="12.75" customHeight="1" x14ac:dyDescent="0.2">
      <c r="C61152"/>
      <c r="M61152"/>
    </row>
    <row r="61153" spans="3:13" ht="12.75" customHeight="1" x14ac:dyDescent="0.2">
      <c r="C61153"/>
      <c r="M61153"/>
    </row>
    <row r="61154" spans="3:13" ht="12.75" customHeight="1" x14ac:dyDescent="0.2">
      <c r="C61154"/>
      <c r="M61154"/>
    </row>
    <row r="61156" spans="3:13" ht="12.75" customHeight="1" x14ac:dyDescent="0.2">
      <c r="C61156"/>
      <c r="M61156"/>
    </row>
    <row r="61164" spans="3:13" ht="12.75" customHeight="1" x14ac:dyDescent="0.2">
      <c r="C61164"/>
      <c r="M61164"/>
    </row>
    <row r="61167" spans="3:13" ht="12.75" customHeight="1" x14ac:dyDescent="0.2">
      <c r="C61167"/>
      <c r="M61167"/>
    </row>
    <row r="61168" spans="3:13" ht="12.75" customHeight="1" x14ac:dyDescent="0.2">
      <c r="C61168"/>
      <c r="M61168"/>
    </row>
    <row r="61169" spans="3:13" ht="12.75" customHeight="1" x14ac:dyDescent="0.2">
      <c r="C61169"/>
      <c r="M61169"/>
    </row>
    <row r="61170" spans="3:13" ht="12.75" customHeight="1" x14ac:dyDescent="0.2">
      <c r="C61170"/>
      <c r="M61170"/>
    </row>
    <row r="61172" spans="3:13" ht="12.75" customHeight="1" x14ac:dyDescent="0.2">
      <c r="C61172"/>
      <c r="M61172"/>
    </row>
    <row r="61180" spans="3:13" ht="12.75" customHeight="1" x14ac:dyDescent="0.2">
      <c r="C61180"/>
      <c r="M61180"/>
    </row>
    <row r="61183" spans="3:13" ht="12.75" customHeight="1" x14ac:dyDescent="0.2">
      <c r="C61183"/>
      <c r="M61183"/>
    </row>
    <row r="61184" spans="3:13" ht="12.75" customHeight="1" x14ac:dyDescent="0.2">
      <c r="C61184"/>
      <c r="M61184"/>
    </row>
    <row r="61185" spans="3:13" ht="12.75" customHeight="1" x14ac:dyDescent="0.2">
      <c r="C61185"/>
      <c r="M61185"/>
    </row>
    <row r="61186" spans="3:13" ht="12.75" customHeight="1" x14ac:dyDescent="0.2">
      <c r="C61186"/>
      <c r="M61186"/>
    </row>
    <row r="61188" spans="3:13" ht="12.75" customHeight="1" x14ac:dyDescent="0.2">
      <c r="C61188"/>
      <c r="M61188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9" spans="3:13" ht="12.75" customHeight="1" x14ac:dyDescent="0.2">
      <c r="C61199"/>
      <c r="M61199"/>
    </row>
    <row r="61200" spans="3:13" ht="12.75" customHeight="1" x14ac:dyDescent="0.2">
      <c r="C61200"/>
      <c r="M61200"/>
    </row>
    <row r="61201" spans="3:13" ht="12.75" customHeight="1" x14ac:dyDescent="0.2">
      <c r="C61201"/>
      <c r="M61201"/>
    </row>
    <row r="61202" spans="3:13" ht="12.75" customHeight="1" x14ac:dyDescent="0.2">
      <c r="C61202"/>
      <c r="M61202"/>
    </row>
    <row r="61204" spans="3:13" ht="12.75" customHeight="1" x14ac:dyDescent="0.2">
      <c r="C61204"/>
      <c r="M61204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5" spans="3:13" ht="12.75" customHeight="1" x14ac:dyDescent="0.2">
      <c r="C61215"/>
      <c r="M61215"/>
    </row>
    <row r="61216" spans="3:13" ht="12.75" customHeight="1" x14ac:dyDescent="0.2">
      <c r="C61216"/>
      <c r="M61216"/>
    </row>
    <row r="61217" spans="3:13" ht="12.75" customHeight="1" x14ac:dyDescent="0.2">
      <c r="C61217"/>
      <c r="M61217"/>
    </row>
    <row r="61218" spans="3:13" ht="12.75" customHeight="1" x14ac:dyDescent="0.2">
      <c r="C61218"/>
      <c r="M61218"/>
    </row>
    <row r="61220" spans="3:13" ht="12.75" customHeight="1" x14ac:dyDescent="0.2">
      <c r="C61220"/>
      <c r="M61220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4" spans="3:13" ht="12.75" customHeight="1" x14ac:dyDescent="0.2">
      <c r="C61234"/>
      <c r="M61234"/>
    </row>
    <row r="61236" spans="3:13" ht="12.75" customHeight="1" x14ac:dyDescent="0.2">
      <c r="C61236"/>
      <c r="M61236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1" spans="3:13" ht="12.75" customHeight="1" x14ac:dyDescent="0.2">
      <c r="C61251"/>
      <c r="M61251"/>
    </row>
    <row r="61252" spans="3:13" ht="12.75" customHeight="1" x14ac:dyDescent="0.2">
      <c r="C61252"/>
      <c r="M61252"/>
    </row>
    <row r="61253" spans="3:13" ht="12.75" customHeight="1" x14ac:dyDescent="0.2">
      <c r="C61253"/>
      <c r="M61253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69" spans="3:13" ht="12.75" customHeight="1" x14ac:dyDescent="0.2">
      <c r="C61269"/>
      <c r="M61269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5" spans="3:13" ht="12.75" customHeight="1" x14ac:dyDescent="0.2">
      <c r="C61285"/>
      <c r="M61285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1" spans="3:13" ht="12.75" customHeight="1" x14ac:dyDescent="0.2">
      <c r="C61301"/>
      <c r="M61301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17" spans="3:13" ht="12.75" customHeight="1" x14ac:dyDescent="0.2">
      <c r="C61317"/>
      <c r="M61317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3" spans="3:13" ht="12.75" customHeight="1" x14ac:dyDescent="0.2">
      <c r="C61333"/>
      <c r="M61333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49" spans="3:13" ht="12.75" customHeight="1" x14ac:dyDescent="0.2">
      <c r="C61349"/>
      <c r="M61349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5" spans="3:13" ht="12.75" customHeight="1" x14ac:dyDescent="0.2">
      <c r="C61365"/>
      <c r="M61365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1" spans="3:13" ht="12.75" customHeight="1" x14ac:dyDescent="0.2">
      <c r="C61381"/>
      <c r="M61381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397" spans="3:13" ht="12.75" customHeight="1" x14ac:dyDescent="0.2">
      <c r="C61397"/>
      <c r="M61397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3" spans="3:13" ht="12.75" customHeight="1" x14ac:dyDescent="0.2">
      <c r="C61413"/>
      <c r="M61413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0" hidden="1" customHeight="1" x14ac:dyDescent="0.2"/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</sheetData>
  <sheetProtection password="BD1F" sheet="1" objects="1" scenarios="1" autoFilter="0"/>
  <autoFilter ref="C15:C52"/>
  <mergeCells count="15"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F1:H1"/>
    <mergeCell ref="Q1:R1"/>
    <mergeCell ref="Y1:Z1"/>
    <mergeCell ref="F2:H2"/>
    <mergeCell ref="Q2:R2"/>
    <mergeCell ref="Y2:Z2"/>
  </mergeCells>
  <phoneticPr fontId="38" type="noConversion"/>
  <conditionalFormatting sqref="M12:N15 M24:N24 M20:N20 M32:N33 M26:N28 M49:N49 M52:N52 M46:N47">
    <cfRule type="expression" dxfId="251" priority="6143" stopIfTrue="1">
      <formula>ACOMPANHAMENTO="BM"</formula>
    </cfRule>
    <cfRule type="expression" dxfId="250" priority="6144" stopIfTrue="1">
      <formula>OR($B12=0,$B12=2,$B12=3,$B12=4)</formula>
    </cfRule>
    <cfRule type="expression" dxfId="249" priority="6145" stopIfTrue="1">
      <formula>$B12=1</formula>
    </cfRule>
  </conditionalFormatting>
  <conditionalFormatting sqref="K12:K15 K17:K33 K43 K46:K52">
    <cfRule type="expression" dxfId="248" priority="6146" stopIfTrue="1">
      <formula>OR(ACOMPANHAMENTO="BM",$A$12&lt;&gt;"Manual")</formula>
    </cfRule>
    <cfRule type="expression" dxfId="247" priority="6147" stopIfTrue="1">
      <formula>$B12=1</formula>
    </cfRule>
    <cfRule type="expression" dxfId="246" priority="6148" stopIfTrue="1">
      <formula>OR($B12=2,$B12=3,$B12=4,$B12=0)</formula>
    </cfRule>
  </conditionalFormatting>
  <conditionalFormatting sqref="O12:AA15 O19:AA33 O43:AA43 O46:AA52">
    <cfRule type="expression" dxfId="245" priority="6149" stopIfTrue="1">
      <formula>ACOMPANHAMENTO="BM"</formula>
    </cfRule>
    <cfRule type="expression" dxfId="244" priority="6150" stopIfTrue="1">
      <formula>AND(O$12&lt;&gt;".",OR($B12=0,$B12=2,$B12=3,$B12=4,AND(O$12="",$B12&lt;&gt;"Empty"),OFFSET(O$12,0,-1)=""))</formula>
    </cfRule>
    <cfRule type="expression" dxfId="243" priority="6151" stopIfTrue="1">
      <formula>AND($B12=1,O$12&lt;&gt;".")</formula>
    </cfRule>
  </conditionalFormatting>
  <conditionalFormatting sqref="M16:N16 M19:N19 M21:N21">
    <cfRule type="expression" dxfId="242" priority="1457" stopIfTrue="1">
      <formula>ACOMPANHAMENTO="BM"</formula>
    </cfRule>
    <cfRule type="expression" dxfId="241" priority="1458" stopIfTrue="1">
      <formula>OR($B16=0,$B16=2,$B16=3,$B16=4)</formula>
    </cfRule>
    <cfRule type="expression" dxfId="240" priority="1459" stopIfTrue="1">
      <formula>$B16=1</formula>
    </cfRule>
  </conditionalFormatting>
  <conditionalFormatting sqref="K16">
    <cfRule type="expression" dxfId="239" priority="1460" stopIfTrue="1">
      <formula>OR(ACOMPANHAMENTO="BM",$A$12&lt;&gt;"Manual")</formula>
    </cfRule>
    <cfRule type="expression" dxfId="238" priority="1461" stopIfTrue="1">
      <formula>$B16=1</formula>
    </cfRule>
    <cfRule type="expression" dxfId="237" priority="1462" stopIfTrue="1">
      <formula>OR($B16=2,$B16=3,$B16=4,$B16=0)</formula>
    </cfRule>
  </conditionalFormatting>
  <conditionalFormatting sqref="O16:AA16">
    <cfRule type="expression" dxfId="236" priority="1463" stopIfTrue="1">
      <formula>ACOMPANHAMENTO="BM"</formula>
    </cfRule>
    <cfRule type="expression" dxfId="235" priority="1464" stopIfTrue="1">
      <formula>AND(O$12&lt;&gt;".",OR($B16=0,$B16=2,$B16=3,$B16=4,AND(O$12="",$B16&lt;&gt;"Empty"),OFFSET(O$12,0,-1)=""))</formula>
    </cfRule>
    <cfRule type="expression" dxfId="234" priority="1465" stopIfTrue="1">
      <formula>AND($B16=1,O$12&lt;&gt;".")</formula>
    </cfRule>
  </conditionalFormatting>
  <conditionalFormatting sqref="M48:N48">
    <cfRule type="expression" dxfId="233" priority="537" stopIfTrue="1">
      <formula>ACOMPANHAMENTO="BM"</formula>
    </cfRule>
    <cfRule type="expression" dxfId="232" priority="538" stopIfTrue="1">
      <formula>OR($B48=0,$B48=2,$B48=3,$B48=4)</formula>
    </cfRule>
    <cfRule type="expression" dxfId="231" priority="539" stopIfTrue="1">
      <formula>$B48=1</formula>
    </cfRule>
  </conditionalFormatting>
  <conditionalFormatting sqref="M30:N30">
    <cfRule type="expression" dxfId="230" priority="346" stopIfTrue="1">
      <formula>ACOMPANHAMENTO="BM"</formula>
    </cfRule>
    <cfRule type="expression" dxfId="229" priority="347" stopIfTrue="1">
      <formula>OR($B30=0,$B30=2,$B30=3,$B30=4)</formula>
    </cfRule>
    <cfRule type="expression" dxfId="228" priority="348" stopIfTrue="1">
      <formula>$B30=1</formula>
    </cfRule>
  </conditionalFormatting>
  <conditionalFormatting sqref="M31:N31">
    <cfRule type="expression" dxfId="227" priority="292" stopIfTrue="1">
      <formula>ACOMPANHAMENTO="BM"</formula>
    </cfRule>
    <cfRule type="expression" dxfId="226" priority="293" stopIfTrue="1">
      <formula>OR($B31=0,$B31=2,$B31=3,$B31=4)</formula>
    </cfRule>
    <cfRule type="expression" dxfId="225" priority="294" stopIfTrue="1">
      <formula>$B31=1</formula>
    </cfRule>
  </conditionalFormatting>
  <conditionalFormatting sqref="M25:N25">
    <cfRule type="expression" dxfId="224" priority="208" stopIfTrue="1">
      <formula>ACOMPANHAMENTO="BM"</formula>
    </cfRule>
    <cfRule type="expression" dxfId="223" priority="209" stopIfTrue="1">
      <formula>OR($B25=0,$B25=2,$B25=3,$B25=4)</formula>
    </cfRule>
    <cfRule type="expression" dxfId="222" priority="210" stopIfTrue="1">
      <formula>$B25=1</formula>
    </cfRule>
  </conditionalFormatting>
  <conditionalFormatting sqref="M29:N29">
    <cfRule type="expression" dxfId="221" priority="199" stopIfTrue="1">
      <formula>ACOMPANHAMENTO="BM"</formula>
    </cfRule>
    <cfRule type="expression" dxfId="220" priority="200" stopIfTrue="1">
      <formula>OR($B29=0,$B29=2,$B29=3,$B29=4)</formula>
    </cfRule>
    <cfRule type="expression" dxfId="219" priority="201" stopIfTrue="1">
      <formula>$B29=1</formula>
    </cfRule>
  </conditionalFormatting>
  <conditionalFormatting sqref="M43:N43">
    <cfRule type="expression" dxfId="218" priority="181" stopIfTrue="1">
      <formula>ACOMPANHAMENTO="BM"</formula>
    </cfRule>
    <cfRule type="expression" dxfId="217" priority="182" stopIfTrue="1">
      <formula>OR($B43=0,$B43=2,$B43=3,$B43=4)</formula>
    </cfRule>
    <cfRule type="expression" dxfId="216" priority="183" stopIfTrue="1">
      <formula>$B43=1</formula>
    </cfRule>
  </conditionalFormatting>
  <conditionalFormatting sqref="M17:N18">
    <cfRule type="expression" dxfId="215" priority="130" stopIfTrue="1">
      <formula>ACOMPANHAMENTO="BM"</formula>
    </cfRule>
    <cfRule type="expression" dxfId="214" priority="131" stopIfTrue="1">
      <formula>OR($B17=0,$B17=2,$B17=3,$B17=4)</formula>
    </cfRule>
    <cfRule type="expression" dxfId="213" priority="132" stopIfTrue="1">
      <formula>$B17=1</formula>
    </cfRule>
  </conditionalFormatting>
  <conditionalFormatting sqref="O17:AA18">
    <cfRule type="expression" dxfId="212" priority="133" stopIfTrue="1">
      <formula>ACOMPANHAMENTO="BM"</formula>
    </cfRule>
    <cfRule type="expression" dxfId="211" priority="134" stopIfTrue="1">
      <formula>AND(O$12&lt;&gt;".",OR($B17=0,$B17=2,$B17=3,$B17=4,AND(O$12="",$B17&lt;&gt;"Empty"),OFFSET(O$12,0,-1)=""))</formula>
    </cfRule>
    <cfRule type="expression" dxfId="210" priority="135" stopIfTrue="1">
      <formula>AND($B17=1,O$12&lt;&gt;".")</formula>
    </cfRule>
  </conditionalFormatting>
  <conditionalFormatting sqref="M22:N23">
    <cfRule type="expression" dxfId="209" priority="121" stopIfTrue="1">
      <formula>ACOMPANHAMENTO="BM"</formula>
    </cfRule>
    <cfRule type="expression" dxfId="208" priority="122" stopIfTrue="1">
      <formula>OR($B22=0,$B22=2,$B22=3,$B22=4)</formula>
    </cfRule>
    <cfRule type="expression" dxfId="207" priority="123" stopIfTrue="1">
      <formula>$B22=1</formula>
    </cfRule>
  </conditionalFormatting>
  <conditionalFormatting sqref="M45:N45">
    <cfRule type="expression" dxfId="206" priority="73" stopIfTrue="1">
      <formula>ACOMPANHAMENTO="BM"</formula>
    </cfRule>
    <cfRule type="expression" dxfId="205" priority="74" stopIfTrue="1">
      <formula>OR($B45=0,$B45=2,$B45=3,$B45=4)</formula>
    </cfRule>
    <cfRule type="expression" dxfId="204" priority="75" stopIfTrue="1">
      <formula>$B45=1</formula>
    </cfRule>
  </conditionalFormatting>
  <conditionalFormatting sqref="K45">
    <cfRule type="expression" dxfId="203" priority="76" stopIfTrue="1">
      <formula>OR(ACOMPANHAMENTO="BM",$A$12&lt;&gt;"Manual")</formula>
    </cfRule>
    <cfRule type="expression" dxfId="202" priority="77" stopIfTrue="1">
      <formula>$B45=1</formula>
    </cfRule>
    <cfRule type="expression" dxfId="201" priority="78" stopIfTrue="1">
      <formula>OR($B45=2,$B45=3,$B45=4,$B45=0)</formula>
    </cfRule>
  </conditionalFormatting>
  <conditionalFormatting sqref="O45:AA45">
    <cfRule type="expression" dxfId="200" priority="79" stopIfTrue="1">
      <formula>ACOMPANHAMENTO="BM"</formula>
    </cfRule>
    <cfRule type="expression" dxfId="199" priority="80" stopIfTrue="1">
      <formula>AND(O$12&lt;&gt;".",OR($B45=0,$B45=2,$B45=3,$B45=4,AND(O$12="",$B45&lt;&gt;"Empty"),OFFSET(O$12,0,-1)=""))</formula>
    </cfRule>
    <cfRule type="expression" dxfId="198" priority="81" stopIfTrue="1">
      <formula>AND($B45=1,O$12&lt;&gt;".")</formula>
    </cfRule>
  </conditionalFormatting>
  <conditionalFormatting sqref="M44:N44">
    <cfRule type="expression" dxfId="197" priority="55" stopIfTrue="1">
      <formula>ACOMPANHAMENTO="BM"</formula>
    </cfRule>
    <cfRule type="expression" dxfId="196" priority="56" stopIfTrue="1">
      <formula>OR($B44=0,$B44=2,$B44=3,$B44=4)</formula>
    </cfRule>
    <cfRule type="expression" dxfId="195" priority="57" stopIfTrue="1">
      <formula>$B44=1</formula>
    </cfRule>
  </conditionalFormatting>
  <conditionalFormatting sqref="K44">
    <cfRule type="expression" dxfId="194" priority="58" stopIfTrue="1">
      <formula>OR(ACOMPANHAMENTO="BM",$A$12&lt;&gt;"Manual")</formula>
    </cfRule>
    <cfRule type="expression" dxfId="193" priority="59" stopIfTrue="1">
      <formula>$B44=1</formula>
    </cfRule>
    <cfRule type="expression" dxfId="192" priority="60" stopIfTrue="1">
      <formula>OR($B44=2,$B44=3,$B44=4,$B44=0)</formula>
    </cfRule>
  </conditionalFormatting>
  <conditionalFormatting sqref="O44:AA44">
    <cfRule type="expression" dxfId="191" priority="61" stopIfTrue="1">
      <formula>ACOMPANHAMENTO="BM"</formula>
    </cfRule>
    <cfRule type="expression" dxfId="190" priority="62" stopIfTrue="1">
      <formula>AND(O$12&lt;&gt;".",OR($B44=0,$B44=2,$B44=3,$B44=4,AND(O$12="",$B44&lt;&gt;"Empty"),OFFSET(O$12,0,-1)=""))</formula>
    </cfRule>
    <cfRule type="expression" dxfId="189" priority="63" stopIfTrue="1">
      <formula>AND($B44=1,O$12&lt;&gt;".")</formula>
    </cfRule>
  </conditionalFormatting>
  <conditionalFormatting sqref="M34:N36">
    <cfRule type="expression" dxfId="188" priority="19" stopIfTrue="1">
      <formula>ACOMPANHAMENTO="BM"</formula>
    </cfRule>
    <cfRule type="expression" dxfId="187" priority="20" stopIfTrue="1">
      <formula>OR($B34=0,$B34=2,$B34=3,$B34=4)</formula>
    </cfRule>
    <cfRule type="expression" dxfId="186" priority="21" stopIfTrue="1">
      <formula>$B34=1</formula>
    </cfRule>
  </conditionalFormatting>
  <conditionalFormatting sqref="K34:K36">
    <cfRule type="expression" dxfId="185" priority="22" stopIfTrue="1">
      <formula>OR(ACOMPANHAMENTO="BM",$A$12&lt;&gt;"Manual")</formula>
    </cfRule>
    <cfRule type="expression" dxfId="184" priority="23" stopIfTrue="1">
      <formula>$B34=1</formula>
    </cfRule>
    <cfRule type="expression" dxfId="183" priority="24" stopIfTrue="1">
      <formula>OR($B34=2,$B34=3,$B34=4,$B34=0)</formula>
    </cfRule>
  </conditionalFormatting>
  <conditionalFormatting sqref="O34:AA36">
    <cfRule type="expression" dxfId="182" priority="25" stopIfTrue="1">
      <formula>ACOMPANHAMENTO="BM"</formula>
    </cfRule>
    <cfRule type="expression" dxfId="181" priority="26" stopIfTrue="1">
      <formula>AND(O$12&lt;&gt;".",OR($B34=0,$B34=2,$B34=3,$B34=4,AND(O$12="",$B34&lt;&gt;"Empty"),OFFSET(O$12,0,-1)=""))</formula>
    </cfRule>
    <cfRule type="expression" dxfId="180" priority="27" stopIfTrue="1">
      <formula>AND($B34=1,O$12&lt;&gt;".")</formula>
    </cfRule>
  </conditionalFormatting>
  <conditionalFormatting sqref="M37:N42">
    <cfRule type="expression" dxfId="179" priority="10" stopIfTrue="1">
      <formula>ACOMPANHAMENTO="BM"</formula>
    </cfRule>
    <cfRule type="expression" dxfId="178" priority="11" stopIfTrue="1">
      <formula>OR($B37=0,$B37=2,$B37=3,$B37=4)</formula>
    </cfRule>
    <cfRule type="expression" dxfId="177" priority="12" stopIfTrue="1">
      <formula>$B37=1</formula>
    </cfRule>
  </conditionalFormatting>
  <conditionalFormatting sqref="K37:K42">
    <cfRule type="expression" dxfId="176" priority="13" stopIfTrue="1">
      <formula>OR(ACOMPANHAMENTO="BM",$A$12&lt;&gt;"Manual")</formula>
    </cfRule>
    <cfRule type="expression" dxfId="175" priority="14" stopIfTrue="1">
      <formula>$B37=1</formula>
    </cfRule>
    <cfRule type="expression" dxfId="174" priority="15" stopIfTrue="1">
      <formula>OR($B37=2,$B37=3,$B37=4,$B37=0)</formula>
    </cfRule>
  </conditionalFormatting>
  <conditionalFormatting sqref="O37:AA42">
    <cfRule type="expression" dxfId="173" priority="16" stopIfTrue="1">
      <formula>ACOMPANHAMENTO="BM"</formula>
    </cfRule>
    <cfRule type="expression" dxfId="172" priority="17" stopIfTrue="1">
      <formula>AND(O$12&lt;&gt;".",OR($B37=0,$B37=2,$B37=3,$B37=4,AND(O$12="",$B37&lt;&gt;"Empty"),OFFSET(O$12,0,-1)=""))</formula>
    </cfRule>
    <cfRule type="expression" dxfId="171" priority="18" stopIfTrue="1">
      <formula>AND($B37=1,O$12&lt;&gt;".")</formula>
    </cfRule>
  </conditionalFormatting>
  <conditionalFormatting sqref="M50:N51">
    <cfRule type="expression" dxfId="170" priority="1" stopIfTrue="1">
      <formula>ACOMPANHAMENTO="BM"</formula>
    </cfRule>
    <cfRule type="expression" dxfId="169" priority="2" stopIfTrue="1">
      <formula>OR($B50=0,$B50=2,$B50=3,$B50=4)</formula>
    </cfRule>
    <cfRule type="expression" dxfId="168" priority="3" stopIfTrue="1">
      <formula>$B50=1</formula>
    </cfRule>
  </conditionalFormatting>
  <dataValidations count="4">
    <dataValidation type="decimal" operator="greaterThan" allowBlank="1" showErrorMessage="1" error="Apenas números decimais maiores que zero." sqref="O14 Q14:Z14 Q16:Z51 O16:O51">
      <formula1>0</formula1>
      <formula2>0</formula2>
    </dataValidation>
    <dataValidation type="list" allowBlank="1" showErrorMessage="1" sqref="K14 K16:K5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51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scale="70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3"/>
  <sheetViews>
    <sheetView showGridLines="0" zoomScale="90" zoomScaleNormal="90" workbookViewId="0">
      <pane ySplit="14" topLeftCell="A15" activePane="bottomLeft" state="frozen"/>
      <selection pane="bottomLeft" activeCell="D23" sqref="D23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40" t="s">
        <v>446</v>
      </c>
      <c r="D6" s="640"/>
      <c r="E6" s="640"/>
      <c r="F6" s="640"/>
    </row>
    <row r="8" spans="2:6" ht="33.75" customHeight="1" x14ac:dyDescent="0.2"/>
    <row r="9" spans="2:6" ht="12" customHeight="1" x14ac:dyDescent="0.2">
      <c r="C9" s="641" t="str">
        <f>IF(ACOMPANHAMENTO="BM","Foi selecionado na aba 'MENU' o acompanhamento por BM. Não há necessidade de definição de Eventos.","")</f>
        <v/>
      </c>
      <c r="D9" s="641"/>
      <c r="E9" s="641"/>
      <c r="F9" s="641"/>
    </row>
    <row r="10" spans="2:6" ht="12" customHeight="1" x14ac:dyDescent="0.2">
      <c r="C10" s="641"/>
      <c r="D10" s="641"/>
      <c r="E10" s="641"/>
      <c r="F10" s="641"/>
    </row>
    <row r="11" spans="2:6" ht="12" customHeight="1" x14ac:dyDescent="0.2">
      <c r="C11" s="641"/>
      <c r="D11" s="641"/>
      <c r="E11" s="641"/>
      <c r="F11" s="641"/>
    </row>
    <row r="12" spans="2:6" ht="12" customHeight="1" x14ac:dyDescent="0.2"/>
    <row r="13" spans="2:6" ht="15" x14ac:dyDescent="0.25">
      <c r="C13" s="195" t="s">
        <v>268</v>
      </c>
      <c r="D13" s="642" t="s">
        <v>269</v>
      </c>
      <c r="E13" s="642"/>
      <c r="F13" s="196" t="s">
        <v>270</v>
      </c>
    </row>
    <row r="14" spans="2:6" hidden="1" x14ac:dyDescent="0.2">
      <c r="B14" t="e">
        <f t="shared" ref="B14:B20" ca="1" si="0">CONCATENATE(C14,".",D14)</f>
        <v>#VALUE!</v>
      </c>
      <c r="C14" s="197" t="e">
        <f ca="1">OFFSET(C14,-1,0)+1</f>
        <v>#VALUE!</v>
      </c>
      <c r="D14" s="639"/>
      <c r="E14" s="639"/>
      <c r="F14" s="198" t="e">
        <f ca="1">IF(AUTOEVENTO="Manual",ROUND(SUMPRODUCT((CÁLCULO!$M$15:$M$52=EVENTOS!$C14)*(OFFSET(CÁLCULO!$AA$15,0,1):OFFSET(CÁLCULO!$AL$52,0,-1))),2),0)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43" t="s">
        <v>271</v>
      </c>
      <c r="E15" s="643"/>
      <c r="F15" s="200">
        <f ca="1">IF(AUTOEVENTO="Manual",ROUND(SUMIF(CÁLCULO!$M$15:$M$52,1,ORÇAMENTO!$X$15:$X$52),2),0)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39" t="s">
        <v>454</v>
      </c>
      <c r="E16" s="639"/>
      <c r="F16" s="198">
        <f ca="1">IF(AUTOEVENTO="Manual",ROUND(SUMPRODUCT((CÁLCULO!$M$15:$M$52=EVENTOS!$C16)*(OFFSET(CÁLCULO!$AA$15,0,1):OFFSET(CÁLCULO!$AL$52,0,-1))),2),0)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39" t="s">
        <v>484</v>
      </c>
      <c r="E17" s="639"/>
      <c r="F17" s="198">
        <f ca="1">IF(AUTOEVENTO="Manual",ROUND(SUMPRODUCT((CÁLCULO!$M$15:$M$52=EVENTOS!$C17)*(OFFSET(CÁLCULO!$AA$15,0,1):OFFSET(CÁLCULO!$AL$52,0,-1))),2),0)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39" t="s">
        <v>485</v>
      </c>
      <c r="E18" s="639"/>
      <c r="F18" s="198">
        <f ca="1">IF(AUTOEVENTO="Manual",ROUND(SUMPRODUCT((CÁLCULO!$M$15:$M$52=EVENTOS!$C18)*(OFFSET(CÁLCULO!$AA$15,0,1):OFFSET(CÁLCULO!$AL$52,0,-1))),2),0)</f>
        <v>0</v>
      </c>
    </row>
    <row r="19" spans="2:6" s="581" customFormat="1" x14ac:dyDescent="0.2">
      <c r="B19" s="581" t="str">
        <f t="shared" ref="B19" ca="1" si="1">CONCATENATE(C19,".",D19)</f>
        <v>5.Recompisição de drenagem</v>
      </c>
      <c r="C19" s="197">
        <f ca="1">OFFSET(C19,-1,0)+1</f>
        <v>5</v>
      </c>
      <c r="D19" s="639" t="s">
        <v>504</v>
      </c>
      <c r="E19" s="639"/>
      <c r="F19" s="198">
        <f ca="1">IF(AUTOEVENTO="Manual",ROUND(SUMPRODUCT((CÁLCULO!$M$15:$M$52=EVENTOS!$C19)*(OFFSET(CÁLCULO!$AA$15,0,1):OFFSET(CÁLCULO!$AL$52,0,-1))),2),0)</f>
        <v>0</v>
      </c>
    </row>
    <row r="20" spans="2:6" s="577" customFormat="1" x14ac:dyDescent="0.2">
      <c r="B20" s="577" t="str">
        <f t="shared" ca="1" si="0"/>
        <v>6.Passeio Público</v>
      </c>
      <c r="C20" s="197">
        <f ca="1">OFFSET(C20,-1,0)+1</f>
        <v>6</v>
      </c>
      <c r="D20" s="639" t="s">
        <v>497</v>
      </c>
      <c r="E20" s="639"/>
      <c r="F20" s="198">
        <f ca="1">IF(AUTOEVENTO="Manual",ROUND(SUMPRODUCT((CÁLCULO!$M$15:$M$52=EVENTOS!$C20)*(OFFSET(CÁLCULO!$AA$15,0,1):OFFSET(CÁLCULO!$AL$52,0,-1))),2),0)</f>
        <v>0</v>
      </c>
    </row>
    <row r="21" spans="2:6" s="573" customFormat="1" x14ac:dyDescent="0.2">
      <c r="B21" s="573" t="str">
        <f t="shared" ref="B21:B22" ca="1" si="2">CONCATENATE(C21,".",D21)</f>
        <v xml:space="preserve">7.Sinalização Vertical </v>
      </c>
      <c r="C21" s="197">
        <f t="shared" ref="C21" ca="1" si="3">OFFSET(C21,-1,0)+1</f>
        <v>7</v>
      </c>
      <c r="D21" s="639" t="s">
        <v>486</v>
      </c>
      <c r="E21" s="639"/>
      <c r="F21" s="198">
        <f ca="1">IF(AUTOEVENTO="Manual",ROUND(SUMPRODUCT((CÁLCULO!$M$15:$M$52=EVENTOS!$C21)*(OFFSET(CÁLCULO!$AA$15,0,1):OFFSET(CÁLCULO!$AL$52,0,-1))),2),0)</f>
        <v>0</v>
      </c>
    </row>
    <row r="22" spans="2:6" s="585" customFormat="1" x14ac:dyDescent="0.2">
      <c r="B22" s="585" t="str">
        <f t="shared" ca="1" si="2"/>
        <v>8.Faixa elevada</v>
      </c>
      <c r="C22" s="197">
        <f ca="1">OFFSET(C22,-1,0)+1</f>
        <v>8</v>
      </c>
      <c r="D22" s="639" t="s">
        <v>517</v>
      </c>
      <c r="E22" s="639"/>
      <c r="F22" s="198">
        <f ca="1">IF(AUTOEVENTO="Manual",ROUND(SUMPRODUCT((CÁLCULO!$M$15:$M$52=EVENTOS!$C22)*(OFFSET(CÁLCULO!$AA$15,0,1):OFFSET(CÁLCULO!$AL$52,0,-1))),2),0)</f>
        <v>0</v>
      </c>
    </row>
    <row r="23" spans="2:6" ht="5.0999999999999996" customHeight="1" x14ac:dyDescent="0.2">
      <c r="C23" s="190"/>
      <c r="D23" s="201"/>
      <c r="E23" s="201"/>
      <c r="F23" s="202"/>
    </row>
  </sheetData>
  <sheetProtection password="BD1F" sheet="1" objects="1" scenarios="1"/>
  <mergeCells count="12">
    <mergeCell ref="D16:E16"/>
    <mergeCell ref="D19:E19"/>
    <mergeCell ref="C6:F6"/>
    <mergeCell ref="C9:F11"/>
    <mergeCell ref="D13:E13"/>
    <mergeCell ref="D14:E14"/>
    <mergeCell ref="D15:E15"/>
    <mergeCell ref="D22:E22"/>
    <mergeCell ref="D21:E21"/>
    <mergeCell ref="D18:E18"/>
    <mergeCell ref="D17:E17"/>
    <mergeCell ref="D20:E20"/>
  </mergeCells>
  <phoneticPr fontId="38" type="noConversion"/>
  <conditionalFormatting sqref="C13:F15 C21:F21 C23:F23">
    <cfRule type="expression" dxfId="167" priority="107" stopIfTrue="1">
      <formula>OR(AUTOEVENTO&lt;&gt;"Manual",ACOMPANHAMENTO="BM")</formula>
    </cfRule>
  </conditionalFormatting>
  <conditionalFormatting sqref="C16:F17">
    <cfRule type="expression" dxfId="166" priority="7" stopIfTrue="1">
      <formula>OR(AUTOEVENTO&lt;&gt;"Manual",ACOMPANHAMENTO="BM")</formula>
    </cfRule>
  </conditionalFormatting>
  <conditionalFormatting sqref="C18:F18">
    <cfRule type="expression" dxfId="165" priority="5" stopIfTrue="1">
      <formula>OR(AUTOEVENTO&lt;&gt;"Manual",ACOMPANHAMENTO="BM")</formula>
    </cfRule>
  </conditionalFormatting>
  <conditionalFormatting sqref="C20:F20">
    <cfRule type="expression" dxfId="164" priority="3" stopIfTrue="1">
      <formula>OR(AUTOEVENTO&lt;&gt;"Manual",ACOMPANHAMENTO="BM")</formula>
    </cfRule>
  </conditionalFormatting>
  <conditionalFormatting sqref="C19:F19">
    <cfRule type="expression" dxfId="163" priority="2" stopIfTrue="1">
      <formula>OR(AUTOEVENTO&lt;&gt;"Manual",ACOMPANHAMENTO="BM")</formula>
    </cfRule>
  </conditionalFormatting>
  <conditionalFormatting sqref="C22:F22">
    <cfRule type="expression" dxfId="162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66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A44" sqref="A44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IF($E2=-1,0,IF(M$13&lt;=$L1,IF(ISERROR(MATCH(M$13,OFFSET($L1,1,0,ROW($L$50)-ROW($L1)-1),0)),ROW($L$50)-ROW($L1)-1,MATCH(M$13,OFFSET($L1,1,0,ROW($L$50)-ROW($L1)-1),0)-1),0))</f>
        <v>#REF!</v>
      </c>
      <c r="N1" s="211" t="e">
        <f ca="1">IF($E2=-1,0,IF(N$13&lt;=$L1,IF(ISERROR(MATCH(N$13,OFFSET($L1,1,0,ROW($L$50)-ROW($L1)-1),0)),ROW($L$50)-ROW($L1)-1,MATCH(N$13,OFFSET($L1,1,0,ROW($L$50)-ROW($L1)-1),0)-1),0))</f>
        <v>#REF!</v>
      </c>
      <c r="O1" s="211" t="e">
        <f ca="1">IF($E2=-1,0,IF(O$13&lt;=$L1,IF(ISERROR(MATCH(O$13,OFFSET($L1,1,0,ROW($L$50)-ROW($L1)-1),0)),ROW($L$50)-ROW($L1)-1,MATCH(O$13,OFFSET($L1,1,0,ROW($L$50)-ROW($L1)-1),0)-1),0))</f>
        <v>#REF!</v>
      </c>
      <c r="P1" s="211" t="e">
        <f ca="1">IF($E2=-1,0,IF(P$13&lt;=$L1,IF(ISERROR(MATCH(P$13,OFFSET($L1,1,0,ROW($L$50)-ROW($L1)-1),0)),ROW($L$50)-ROW($L1)-1,MATCH(P$13,OFFSET($L1,1,0,ROW($L$50)-ROW($L1)-1),0)-1),0))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$52,"="&amp;CRONO!D$12,CÁLCULO!$AB$15:$AL$52)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$52,"&lt;="&amp;CRONO!T$12,CÁLCULO!$AB$15:$AL$52)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$52,"="&amp;CRONO!U$12,CÁLCULO!$AB$15:$AL$52)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$52,"="&amp;CRONO!V$12,CÁLCULO!$AB$15:$AL$52)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$52,"="&amp;CRONO!W$12,CÁLCULO!$AB$15:$AL$52)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$52,"="&amp;CRONO!X$12,CÁLCULO!$AB$15:$AL$52)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$52,"="&amp;CRONO!Y$12,CÁLCULO!$AB$15:$AL$52)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$52,"="&amp;CRONO!Z$12,CÁLCULO!$AB$15:$AL$52)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$52,"="&amp;CRONO!AA$12,CÁLCULO!$AB$15:$AL$52)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$52,"="&amp;CRONO!AB$12,CÁLCULO!$AB$15:$AL$52)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$52,"="&amp;CRONO!AC$12,CÁLCULO!$AB$15:$AL$52)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$52,"="&amp;CRONO!AD$12,CÁLCULO!$AB$15:$AL$52)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$52,"="&amp;CRONO!AE$12,CÁLCULO!$AB$15:$AL$52)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593" t="s">
        <v>141</v>
      </c>
      <c r="AE4" s="593"/>
    </row>
    <row r="5" spans="1:32" ht="15" x14ac:dyDescent="0.2">
      <c r="R5" s="84" t="str">
        <f>import.recurso</f>
        <v>OGU</v>
      </c>
      <c r="AD5" s="594" t="s">
        <v>144</v>
      </c>
      <c r="AE5" s="594"/>
    </row>
    <row r="6" spans="1:32" ht="12.75" customHeight="1" x14ac:dyDescent="0.2"/>
    <row r="7" spans="1:32" ht="12.75" customHeight="1" x14ac:dyDescent="0.2">
      <c r="E7" s="229"/>
      <c r="G7" s="645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621" t="s">
        <v>211</v>
      </c>
      <c r="G8" s="645"/>
      <c r="H8" s="644">
        <f>Import.CR</f>
        <v>0</v>
      </c>
      <c r="I8" s="644"/>
      <c r="J8" s="236">
        <f>Import.SICONV</f>
        <v>0</v>
      </c>
      <c r="K8" s="654" t="str">
        <f>Import.Proponente</f>
        <v>Prefeitura Municipal de Caçapava do Sul</v>
      </c>
      <c r="L8" s="654"/>
      <c r="M8" s="654"/>
      <c r="N8" s="654"/>
      <c r="O8" s="654"/>
      <c r="P8" s="654"/>
      <c r="Q8" s="654"/>
      <c r="R8" s="654"/>
      <c r="S8" s="654"/>
      <c r="T8" s="644" t="str">
        <f>Import.Apelido</f>
        <v>Calçamento da Rua General Neto</v>
      </c>
      <c r="U8" s="644"/>
      <c r="V8" s="644"/>
      <c r="W8" s="644"/>
      <c r="X8" s="644"/>
      <c r="Y8" s="651" t="str">
        <f>IF(TIPOORCAMENTO="Licitado",Import.empresa,Import.DescLote)</f>
        <v>Lote Único - Empreitada Preço Global</v>
      </c>
      <c r="Z8" s="651"/>
      <c r="AA8" s="651"/>
      <c r="AB8" s="651"/>
      <c r="AC8" s="651"/>
      <c r="AD8" s="651"/>
      <c r="AE8" s="223" t="str">
        <f>IF(TIPOORCAMENTO="Licitado",Import.CTEF,"")</f>
        <v/>
      </c>
    </row>
    <row r="9" spans="1:32" x14ac:dyDescent="0.2">
      <c r="E9" s="116"/>
      <c r="F9" s="621"/>
      <c r="G9" s="645"/>
    </row>
    <row r="10" spans="1:32" x14ac:dyDescent="0.2">
      <c r="E10" s="229"/>
      <c r="F10" s="621"/>
      <c r="G10" s="237">
        <v>2</v>
      </c>
      <c r="J10" s="655" t="str">
        <f ca="1">IF(MAX($A$13:$A$50)&lt;CRONO.LinhasNecessarias,"ERRO: NÚMERO DE LINHAS DO CRONOGRAMA INSUFICIENTE. CLIQUE EM ATUALIZAR LINHAS.",IF(AND(ACOMPANHAMENTO="PLE",ROUND(OFFSET($AF$60,0,-1),2)=0),"CRONOGRAMA DEVE SER PREENCHIDO POR EVENTOS",IF(ROUND(OFFSET($AF$60,0,-1),2)&lt;&gt;$Q$51,"ERRO: CRONOGRAMA NÃO FECHA 100%","")))</f>
        <v>CRONOGRAMA DEVE SER PREENCHIDO POR EVENTOS</v>
      </c>
      <c r="K10" s="655"/>
      <c r="L10" s="655"/>
      <c r="M10" s="655"/>
      <c r="N10" s="655"/>
      <c r="O10" s="655"/>
      <c r="P10" s="655"/>
      <c r="Q10" s="655"/>
      <c r="R10" s="655"/>
      <c r="S10" s="655"/>
    </row>
    <row r="11" spans="1:32" ht="12.75" customHeight="1" x14ac:dyDescent="0.2">
      <c r="F11" s="621"/>
      <c r="H11" s="238"/>
      <c r="I11" s="238"/>
      <c r="J11" s="655"/>
      <c r="K11" s="655"/>
      <c r="L11" s="655"/>
      <c r="M11" s="655"/>
      <c r="N11" s="655"/>
      <c r="O11" s="655"/>
      <c r="P11" s="655"/>
      <c r="Q11" s="655"/>
      <c r="R11" s="655"/>
      <c r="S11" s="655"/>
    </row>
    <row r="12" spans="1:32" ht="12.75" customHeight="1" x14ac:dyDescent="0.2">
      <c r="D12" s="239">
        <f ca="1">OFFSET(D12,0,-1)+1</f>
        <v>1</v>
      </c>
      <c r="F12" s="108" t="s">
        <v>219</v>
      </c>
      <c r="G12" s="647" t="s">
        <v>276</v>
      </c>
      <c r="H12" s="648" t="s">
        <v>233</v>
      </c>
      <c r="I12" s="649" t="s">
        <v>236</v>
      </c>
      <c r="J12" s="240"/>
      <c r="K12" s="240"/>
      <c r="L12" s="241"/>
      <c r="M12" s="241"/>
      <c r="N12" s="241"/>
      <c r="O12" s="241"/>
      <c r="P12" s="241"/>
      <c r="Q12" s="241"/>
      <c r="R12" s="652" t="s">
        <v>277</v>
      </c>
      <c r="S12" s="653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47"/>
      <c r="H13" s="648"/>
      <c r="I13" s="649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52"/>
      <c r="S13" s="653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DA RUA GAL. NETO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IF($E15=-1,0,IF(M$13&lt;=$L14,IF(ISERROR(MATCH(M$13,OFFSET($L14,1,0,ROW($L$50)-ROW($L14)-1),0)),ROW($L$50)-ROW($L14)-1,MATCH(M$13,OFFSET($L14,1,0,ROW($L$50)-ROW($L14)-1),0)-1),0))</f>
        <v>35</v>
      </c>
      <c r="N14" s="211">
        <f ca="1">IF($E15=-1,0,IF(N$13&lt;=$L14,IF(ISERROR(MATCH(N$13,OFFSET($L14,1,0,ROW($L$50)-ROW($L14)-1),0)),ROW($L$50)-ROW($L14)-1,MATCH(N$13,OFFSET($L14,1,0,ROW($L$50)-ROW($L14)-1),0)-1),0))</f>
        <v>0</v>
      </c>
      <c r="O14" s="211">
        <f ca="1">IF($E15=-1,0,IF(O$13&lt;=$L14,IF(ISERROR(MATCH(O$13,OFFSET($L14,1,0,ROW($L$50)-ROW($L14)-1),0)),ROW($L$50)-ROW($L14)-1,MATCH(O$13,OFFSET($L14,1,0,ROW($L$50)-ROW($L14)-1),0)-1),0))</f>
        <v>0</v>
      </c>
      <c r="P14" s="211">
        <f ca="1">IF($E15=-1,0,IF(P$13&lt;=$L14,IF(ISERROR(MATCH(P$13,OFFSET($L14,1,0,ROW($L$50)-ROW($L14)-1),0)),ROW($L$50)-ROW($L14)-1,MATCH(P$13,OFFSET($L14,1,0,ROW($L$50)-ROW($L14)-1),0)-1),0))</f>
        <v>0</v>
      </c>
      <c r="Q14" s="211">
        <f ca="1">MIN(OFFSET(L14,0,1,,L14))</f>
        <v>35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$52,"="&amp;CRONO!D$12,CÁLCULO!$AB$15:$AL$52)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$52,"&lt;="&amp;CRONO!T$12,CÁLCULO!$AB$15:$AL$52)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$52,"="&amp;CRONO!U$12,CÁLCULO!$AB$15:$AL$52)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$52,"="&amp;CRONO!V$12,CÁLCULO!$AB$15:$AL$52)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$52,"="&amp;CRONO!W$12,CÁLCULO!$AB$15:$AL$52)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$52,"="&amp;CRONO!X$12,CÁLCULO!$AB$15:$AL$52)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$52,"="&amp;CRONO!Y$12,CÁLCULO!$AB$15:$AL$52)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$52,"="&amp;CRONO!Z$12,CÁLCULO!$AB$15:$AL$52)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$52,"="&amp;CRONO!AA$12,CÁLCULO!$AB$15:$AL$52)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$52,"="&amp;CRONO!AB$12,CÁLCULO!$AB$15:$AL$52)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$52,"="&amp;CRONO!AC$12,CÁLCULO!$AB$15:$AL$52)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$52,"="&amp;CRONO!AD$12,CÁLCULO!$AB$15:$AL$52)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$52,"="&amp;CRONO!AE$12,CÁLCULO!$AB$15:$AL$52)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IF($E18=-1,0,IF(M$13&lt;=$L17,IF(ISERROR(MATCH(M$13,OFFSET($L17,1,0,ROW($L$50)-ROW($L17)-1),0)),ROW($L$50)-ROW($L17)-1,MATCH(M$13,OFFSET($L17,1,0,ROW($L$50)-ROW($L17)-1),0)-1),0))</f>
        <v>32</v>
      </c>
      <c r="N17" s="211">
        <f ca="1">IF($E18=-1,0,IF(N$13&lt;=$L17,IF(ISERROR(MATCH(N$13,OFFSET($L17,1,0,ROW($L$50)-ROW($L17)-1),0)),ROW($L$50)-ROW($L17)-1,MATCH(N$13,OFFSET($L17,1,0,ROW($L$50)-ROW($L17)-1),0)-1),0))</f>
        <v>2</v>
      </c>
      <c r="O17" s="211">
        <f ca="1">IF($E18=-1,0,IF(O$13&lt;=$L17,IF(ISERROR(MATCH(O$13,OFFSET($L17,1,0,ROW($L$50)-ROW($L17)-1),0)),ROW($L$50)-ROW($L17)-1,MATCH(O$13,OFFSET($L17,1,0,ROW($L$50)-ROW($L17)-1),0)-1),0))</f>
        <v>0</v>
      </c>
      <c r="P17" s="211">
        <f ca="1">IF($E18=-1,0,IF(P$13&lt;=$L17,IF(ISERROR(MATCH(P$13,OFFSET($L17,1,0,ROW($L$50)-ROW($L17)-1),0)),ROW($L$50)-ROW($L17)-1,MATCH(P$13,OFFSET($L17,1,0,ROW($L$50)-ROW($L17)-1),0)-1),0))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$52,"="&amp;CRONO!D$12,CÁLCULO!$AB$15:$AL$52)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$52,"&lt;="&amp;CRONO!T$12,CÁLCULO!$AB$15:$AL$52)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$52,"="&amp;CRONO!U$12,CÁLCULO!$AB$15:$AL$52)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$52,"="&amp;CRONO!V$12,CÁLCULO!$AB$15:$AL$52)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$52,"="&amp;CRONO!W$12,CÁLCULO!$AB$15:$AL$52)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$52,"="&amp;CRONO!X$12,CÁLCULO!$AB$15:$AL$52)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$52,"="&amp;CRONO!Y$12,CÁLCULO!$AB$15:$AL$52)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$52,"="&amp;CRONO!Z$12,CÁLCULO!$AB$15:$AL$52)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$52,"="&amp;CRONO!AA$12,CÁLCULO!$AB$15:$AL$52)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$52,"="&amp;CRONO!AB$12,CÁLCULO!$AB$15:$AL$52)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$52,"="&amp;CRONO!AC$12,CÁLCULO!$AB$15:$AL$52)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$52,"="&amp;CRONO!AD$12,CÁLCULO!$AB$15:$AL$52)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$52,"="&amp;CRONO!AE$12,CÁLCULO!$AB$15:$AL$52)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IF($E21=-1,0,IF(M$13&lt;=$L20,IF(ISERROR(MATCH(M$13,OFFSET($L20,1,0,ROW($L$50)-ROW($L20)-1),0)),ROW($L$50)-ROW($L20)-1,MATCH(M$13,OFFSET($L20,1,0,ROW($L$50)-ROW($L20)-1),0)-1),0))</f>
        <v>29</v>
      </c>
      <c r="N20" s="211">
        <f ca="1">IF($E21=-1,0,IF(N$13&lt;=$L20,IF(ISERROR(MATCH(N$13,OFFSET($L20,1,0,ROW($L$50)-ROW($L20)-1),0)),ROW($L$50)-ROW($L20)-1,MATCH(N$13,OFFSET($L20,1,0,ROW($L$50)-ROW($L20)-1),0)-1),0))</f>
        <v>2</v>
      </c>
      <c r="O20" s="211">
        <f ca="1">IF($E21=-1,0,IF(O$13&lt;=$L20,IF(ISERROR(MATCH(O$13,OFFSET($L20,1,0,ROW($L$50)-ROW($L20)-1),0)),ROW($L$50)-ROW($L20)-1,MATCH(O$13,OFFSET($L20,1,0,ROW($L$50)-ROW($L20)-1),0)-1),0))</f>
        <v>0</v>
      </c>
      <c r="P20" s="211">
        <f ca="1">IF($E21=-1,0,IF(P$13&lt;=$L20,IF(ISERROR(MATCH(P$13,OFFSET($L20,1,0,ROW($L$50)-ROW($L20)-1),0)),ROW($L$50)-ROW($L20)-1,MATCH(P$13,OFFSET($L20,1,0,ROW($L$50)-ROW($L20)-1),0)-1),0))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$52,"="&amp;CRONO!D$12,CÁLCULO!$AB$15:$AL$52)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$52,"&lt;="&amp;CRONO!T$12,CÁLCULO!$AB$15:$AL$52)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$52,"="&amp;CRONO!U$12,CÁLCULO!$AB$15:$AL$52)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$52,"="&amp;CRONO!V$12,CÁLCULO!$AB$15:$AL$52)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$52,"="&amp;CRONO!W$12,CÁLCULO!$AB$15:$AL$52)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$52,"="&amp;CRONO!X$12,CÁLCULO!$AB$15:$AL$52)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$52,"="&amp;CRONO!Y$12,CÁLCULO!$AB$15:$AL$52)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$52,"="&amp;CRONO!Z$12,CÁLCULO!$AB$15:$AL$52)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$52,"="&amp;CRONO!AA$12,CÁLCULO!$AB$15:$AL$52)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$52,"="&amp;CRONO!AB$12,CÁLCULO!$AB$15:$AL$52)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$52,"="&amp;CRONO!AC$12,CÁLCULO!$AB$15:$AL$52)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$52,"="&amp;CRONO!AD$12,CÁLCULO!$AB$15:$AL$52)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$52,"="&amp;CRONO!AE$12,CÁLCULO!$AB$15:$AL$52)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IF($E24=-1,0,IF(M$13&lt;=$L23,IF(ISERROR(MATCH(M$13,OFFSET($L23,1,0,ROW($L$50)-ROW($L23)-1),0)),ROW($L$50)-ROW($L23)-1,MATCH(M$13,OFFSET($L23,1,0,ROW($L$50)-ROW($L23)-1),0)-1),0))</f>
        <v>26</v>
      </c>
      <c r="N23" s="211">
        <f ca="1">IF($E24=-1,0,IF(N$13&lt;=$L23,IF(ISERROR(MATCH(N$13,OFFSET($L23,1,0,ROW($L$50)-ROW($L23)-1),0)),ROW($L$50)-ROW($L23)-1,MATCH(N$13,OFFSET($L23,1,0,ROW($L$50)-ROW($L23)-1),0)-1),0))</f>
        <v>2</v>
      </c>
      <c r="O23" s="211">
        <f ca="1">IF($E24=-1,0,IF(O$13&lt;=$L23,IF(ISERROR(MATCH(O$13,OFFSET($L23,1,0,ROW($L$50)-ROW($L23)-1),0)),ROW($L$50)-ROW($L23)-1,MATCH(O$13,OFFSET($L23,1,0,ROW($L$50)-ROW($L23)-1),0)-1),0))</f>
        <v>0</v>
      </c>
      <c r="P23" s="211">
        <f ca="1">IF($E24=-1,0,IF(P$13&lt;=$L23,IF(ISERROR(MATCH(P$13,OFFSET($L23,1,0,ROW($L$50)-ROW($L23)-1),0)),ROW($L$50)-ROW($L23)-1,MATCH(P$13,OFFSET($L23,1,0,ROW($L$50)-ROW($L23)-1),0)-1),0))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$52,"="&amp;CRONO!D$12,CÁLCULO!$AB$15:$AL$52)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$52,"&lt;="&amp;CRONO!T$12,CÁLCULO!$AB$15:$AL$52)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$52,"="&amp;CRONO!U$12,CÁLCULO!$AB$15:$AL$52)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$52,"="&amp;CRONO!V$12,CÁLCULO!$AB$15:$AL$52)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$52,"="&amp;CRONO!W$12,CÁLCULO!$AB$15:$AL$52)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$52,"="&amp;CRONO!X$12,CÁLCULO!$AB$15:$AL$52)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$52,"="&amp;CRONO!Y$12,CÁLCULO!$AB$15:$AL$52)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$52,"="&amp;CRONO!Z$12,CÁLCULO!$AB$15:$AL$52)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$52,"="&amp;CRONO!AA$12,CÁLCULO!$AB$15:$AL$52)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$52,"="&amp;CRONO!AB$12,CÁLCULO!$AB$15:$AL$52)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$52,"="&amp;CRONO!AC$12,CÁLCULO!$AB$15:$AL$52)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$52,"="&amp;CRONO!AD$12,CÁLCULO!$AB$15:$AL$52)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$52,"="&amp;CRONO!AE$12,CÁLCULO!$AB$15:$AL$52)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 xml:space="preserve">PAVIMENTAÇÃO 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IF($E27=-1,0,IF(M$13&lt;=$L26,IF(ISERROR(MATCH(M$13,OFFSET($L26,1,0,ROW($L$50)-ROW($L26)-1),0)),ROW($L$50)-ROW($L26)-1,MATCH(M$13,OFFSET($L26,1,0,ROW($L$50)-ROW($L26)-1),0)-1),0))</f>
        <v>23</v>
      </c>
      <c r="N26" s="211">
        <f ca="1">IF($E27=-1,0,IF(N$13&lt;=$L26,IF(ISERROR(MATCH(N$13,OFFSET($L26,1,0,ROW($L$50)-ROW($L26)-1),0)),ROW($L$50)-ROW($L26)-1,MATCH(N$13,OFFSET($L26,1,0,ROW($L$50)-ROW($L26)-1),0)-1),0))</f>
        <v>2</v>
      </c>
      <c r="O26" s="211">
        <f ca="1">IF($E27=-1,0,IF(O$13&lt;=$L26,IF(ISERROR(MATCH(O$13,OFFSET($L26,1,0,ROW($L$50)-ROW($L26)-1),0)),ROW($L$50)-ROW($L26)-1,MATCH(O$13,OFFSET($L26,1,0,ROW($L$50)-ROW($L26)-1),0)-1),0))</f>
        <v>0</v>
      </c>
      <c r="P26" s="211">
        <f ca="1">IF($E27=-1,0,IF(P$13&lt;=$L26,IF(ISERROR(MATCH(P$13,OFFSET($L26,1,0,ROW($L$50)-ROW($L26)-1),0)),ROW($L$50)-ROW($L26)-1,MATCH(P$13,OFFSET($L26,1,0,ROW($L$50)-ROW($L26)-1),0)-1),0))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$52,"="&amp;CRONO!D$12,CÁLCULO!$AB$15:$AL$52)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$52,"&lt;="&amp;CRONO!T$12,CÁLCULO!$AB$15:$AL$52)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$52,"="&amp;CRONO!U$12,CÁLCULO!$AB$15:$AL$52)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$52,"="&amp;CRONO!V$12,CÁLCULO!$AB$15:$AL$52)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$52,"="&amp;CRONO!W$12,CÁLCULO!$AB$15:$AL$52)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$52,"="&amp;CRONO!X$12,CÁLCULO!$AB$15:$AL$52)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$52,"="&amp;CRONO!Y$12,CÁLCULO!$AB$15:$AL$52)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$52,"="&amp;CRONO!Z$12,CÁLCULO!$AB$15:$AL$52)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$52,"="&amp;CRONO!AA$12,CÁLCULO!$AB$15:$AL$52)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$52,"="&amp;CRONO!AB$12,CÁLCULO!$AB$15:$AL$52)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$52,"="&amp;CRONO!AC$12,CÁLCULO!$AB$15:$AL$52)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$52,"="&amp;CRONO!AD$12,CÁLCULO!$AB$15:$AL$52)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$52,"="&amp;CRONO!AE$12,CÁLCULO!$AB$15:$AL$52)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19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RECOMPOSIÇÃO DE DISPOSITIVOS DE DRENAGEM EXISTENTE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IF($E30=-1,0,IF(M$13&lt;=$L29,IF(ISERROR(MATCH(M$13,OFFSET($L29,1,0,ROW($L$50)-ROW($L29)-1),0)),ROW($L$50)-ROW($L29)-1,MATCH(M$13,OFFSET($L29,1,0,ROW($L$50)-ROW($L29)-1),0)-1),0))</f>
        <v>20</v>
      </c>
      <c r="N29" s="211">
        <f ca="1">IF($E30=-1,0,IF(N$13&lt;=$L29,IF(ISERROR(MATCH(N$13,OFFSET($L29,1,0,ROW($L$50)-ROW($L29)-1),0)),ROW($L$50)-ROW($L29)-1,MATCH(N$13,OFFSET($L29,1,0,ROW($L$50)-ROW($L29)-1),0)-1),0))</f>
        <v>2</v>
      </c>
      <c r="O29" s="211">
        <f ca="1">IF($E30=-1,0,IF(O$13&lt;=$L29,IF(ISERROR(MATCH(O$13,OFFSET($L29,1,0,ROW($L$50)-ROW($L29)-1),0)),ROW($L$50)-ROW($L29)-1,MATCH(O$13,OFFSET($L29,1,0,ROW($L$50)-ROW($L29)-1),0)-1),0))</f>
        <v>0</v>
      </c>
      <c r="P29" s="211">
        <f ca="1">IF($E30=-1,0,IF(P$13&lt;=$L29,IF(ISERROR(MATCH(P$13,OFFSET($L29,1,0,ROW($L$50)-ROW($L29)-1),0)),ROW($L$50)-ROW($L29)-1,MATCH(P$13,OFFSET($L29,1,0,ROW($L$50)-ROW($L29)-1),0)-1),0))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$52,"="&amp;CRONO!D$12,CÁLCULO!$AB$15:$AL$52)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$52,"&lt;="&amp;CRONO!T$12,CÁLCULO!$AB$15:$AL$52)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$52,"="&amp;CRONO!U$12,CÁLCULO!$AB$15:$AL$52)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$52,"="&amp;CRONO!V$12,CÁLCULO!$AB$15:$AL$52)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$52,"="&amp;CRONO!W$12,CÁLCULO!$AB$15:$AL$52)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$52,"="&amp;CRONO!X$12,CÁLCULO!$AB$15:$AL$52)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$52,"="&amp;CRONO!Y$12,CÁLCULO!$AB$15:$AL$52)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$52,"="&amp;CRONO!Z$12,CÁLCULO!$AB$15:$AL$52)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$52,"="&amp;CRONO!AA$12,CÁLCULO!$AB$15:$AL$52)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$52,"="&amp;CRONO!AB$12,CÁLCULO!$AB$15:$AL$52)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$52,"="&amp;CRONO!AC$12,CÁLCULO!$AB$15:$AL$52)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$52,"="&amp;CRONO!AD$12,CÁLCULO!$AB$15:$AL$52)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$52,"="&amp;CRONO!AE$12,CÁLCULO!$AB$15:$AL$52)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>
        <f ca="1">IF(A32&lt;=ORÇAMENTO.MáximoListaCrono,MATCH(A32,ORÇAMENTO.ListaCrono,0),NA())</f>
        <v>22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FAIXA ELEVADA PAERA TRAVESSIA DE PEDESTRE EM BLOCO DE CONCRETO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IF($E33=-1,0,IF(M$13&lt;=$L32,IF(ISERROR(MATCH(M$13,OFFSET($L32,1,0,ROW($L$50)-ROW($L32)-1),0)),ROW($L$50)-ROW($L32)-1,MATCH(M$13,OFFSET($L32,1,0,ROW($L$50)-ROW($L32)-1),0)-1),0))</f>
        <v>17</v>
      </c>
      <c r="N32" s="211">
        <f ca="1">IF($E33=-1,0,IF(N$13&lt;=$L32,IF(ISERROR(MATCH(N$13,OFFSET($L32,1,0,ROW($L$50)-ROW($L32)-1),0)),ROW($L$50)-ROW($L32)-1,MATCH(N$13,OFFSET($L32,1,0,ROW($L$50)-ROW($L32)-1),0)-1),0))</f>
        <v>2</v>
      </c>
      <c r="O32" s="211">
        <f ca="1">IF($E33=-1,0,IF(O$13&lt;=$L32,IF(ISERROR(MATCH(O$13,OFFSET($L32,1,0,ROW($L$50)-ROW($L32)-1),0)),ROW($L$50)-ROW($L32)-1,MATCH(O$13,OFFSET($L32,1,0,ROW($L$50)-ROW($L32)-1),0)-1),0))</f>
        <v>0</v>
      </c>
      <c r="P32" s="211">
        <f ca="1">IF($E33=-1,0,IF(P$13&lt;=$L32,IF(ISERROR(MATCH(P$13,OFFSET($L32,1,0,ROW($L$50)-ROW($L32)-1),0)),ROW($L$50)-ROW($L32)-1,MATCH(P$13,OFFSET($L32,1,0,ROW($L$50)-ROW($L32)-1),0)-1),0))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 t="e">
        <f t="shared" ref="T32:AE32" ca="1" si="9">IF(AND($Q32=2,ACOMPANHAMENTO="BM"),T33,T34/$R32)</f>
        <v>#DIV/0!</v>
      </c>
      <c r="U32" s="206" t="e">
        <f t="shared" ca="1" si="9"/>
        <v>#DIV/0!</v>
      </c>
      <c r="V32" s="206" t="e">
        <f t="shared" ca="1" si="9"/>
        <v>#DIV/0!</v>
      </c>
      <c r="W32" s="206" t="e">
        <f t="shared" ca="1" si="9"/>
        <v>#DIV/0!</v>
      </c>
      <c r="X32" s="206" t="e">
        <f t="shared" ca="1" si="9"/>
        <v>#DIV/0!</v>
      </c>
      <c r="Y32" s="206" t="e">
        <f t="shared" ca="1" si="9"/>
        <v>#DIV/0!</v>
      </c>
      <c r="Z32" s="206" t="e">
        <f t="shared" ca="1" si="9"/>
        <v>#DIV/0!</v>
      </c>
      <c r="AA32" s="206" t="e">
        <f t="shared" ca="1" si="9"/>
        <v>#DIV/0!</v>
      </c>
      <c r="AB32" s="206" t="e">
        <f t="shared" ca="1" si="9"/>
        <v>#DIV/0!</v>
      </c>
      <c r="AC32" s="206" t="e">
        <f t="shared" ca="1" si="9"/>
        <v>#DIV/0!</v>
      </c>
      <c r="AD32" s="206" t="e">
        <f t="shared" ca="1" si="9"/>
        <v>#DIV/0!</v>
      </c>
      <c r="AE32" s="215" t="e">
        <f t="shared" ca="1" si="9"/>
        <v>#DIV/0!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$52,"="&amp;CRONO!D$12,CÁLCULO!$AB$15:$AL$52)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$52,"&lt;="&amp;CRONO!T$12,CÁLCULO!$AB$15:$AL$52)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$52,"="&amp;CRONO!U$12,CÁLCULO!$AB$15:$AL$52)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$52,"="&amp;CRONO!V$12,CÁLCULO!$AB$15:$AL$52)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$52,"="&amp;CRONO!W$12,CÁLCULO!$AB$15:$AL$52)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$52,"="&amp;CRONO!X$12,CÁLCULO!$AB$15:$AL$52)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$52,"="&amp;CRONO!Y$12,CÁLCULO!$AB$15:$AL$52)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$52,"="&amp;CRONO!Z$12,CÁLCULO!$AB$15:$AL$52)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$52,"="&amp;CRONO!AA$12,CÁLCULO!$AB$15:$AL$52)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$52,"="&amp;CRONO!AB$12,CÁLCULO!$AB$15:$AL$52)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$52,"="&amp;CRONO!AC$12,CÁLCULO!$AB$15:$AL$52)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$52,"="&amp;CRONO!AD$12,CÁLCULO!$AB$15:$AL$52)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$52,"="&amp;CRONO!AE$12,CÁLCULO!$AB$15:$AL$52)/(ORÇAMENTO!$X$15-CÁLCULO.TotalAdmLocal)*CRONO!$E34,0),AE33*$R32),SUMIF(OFFSET($R34,1,0,$Q32-2),($L32+1)&amp;"$",OFFSET(AE34,1,0,$Q32-2)))</f>
        <v>0</v>
      </c>
    </row>
    <row r="35" spans="1:32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>
        <f ca="1">IF(A35&lt;=ORÇAMENTO.MáximoListaCrono,MATCH(A35,ORÇAMENTO.ListaCrono,0),NA())</f>
        <v>25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Canaleta de concreto para drenagem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IF($E36=-1,0,IF(M$13&lt;=$L35,IF(ISERROR(MATCH(M$13,OFFSET($L35,1,0,ROW($L$50)-ROW($L35)-1),0)),ROW($L$50)-ROW($L35)-1,MATCH(M$13,OFFSET($L35,1,0,ROW($L$50)-ROW($L35)-1),0)-1),0))</f>
        <v>14</v>
      </c>
      <c r="N35" s="211">
        <f ca="1">IF($E36=-1,0,IF(N$13&lt;=$L35,IF(ISERROR(MATCH(N$13,OFFSET($L35,1,0,ROW($L$50)-ROW($L35)-1),0)),ROW($L$50)-ROW($L35)-1,MATCH(N$13,OFFSET($L35,1,0,ROW($L$50)-ROW($L35)-1),0)-1),0))</f>
        <v>2</v>
      </c>
      <c r="O35" s="211">
        <f ca="1">IF($E36=-1,0,IF(O$13&lt;=$L35,IF(ISERROR(MATCH(O$13,OFFSET($L35,1,0,ROW($L$50)-ROW($L35)-1),0)),ROW($L$50)-ROW($L35)-1,MATCH(O$13,OFFSET($L35,1,0,ROW($L$50)-ROW($L35)-1),0)-1),0))</f>
        <v>0</v>
      </c>
      <c r="P35" s="211">
        <f ca="1">IF($E36=-1,0,IF(P$13&lt;=$L35,IF(ISERROR(MATCH(P$13,OFFSET($L35,1,0,ROW($L$50)-ROW($L35)-1),0)),ROW($L$50)-ROW($L35)-1,MATCH(P$13,OFFSET($L35,1,0,ROW($L$50)-ROW($L35)-1),0)-1),0))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 t="e">
        <f t="shared" ref="T35:AE35" ca="1" si="10">IF(AND($Q35=2,ACOMPANHAMENTO="BM"),T36,T37/$R35)</f>
        <v>#DIV/0!</v>
      </c>
      <c r="U35" s="206" t="e">
        <f t="shared" ca="1" si="10"/>
        <v>#DIV/0!</v>
      </c>
      <c r="V35" s="206" t="e">
        <f t="shared" ca="1" si="10"/>
        <v>#DIV/0!</v>
      </c>
      <c r="W35" s="206" t="e">
        <f t="shared" ca="1" si="10"/>
        <v>#DIV/0!</v>
      </c>
      <c r="X35" s="206" t="e">
        <f t="shared" ca="1" si="10"/>
        <v>#DIV/0!</v>
      </c>
      <c r="Y35" s="206" t="e">
        <f t="shared" ca="1" si="10"/>
        <v>#DIV/0!</v>
      </c>
      <c r="Z35" s="206" t="e">
        <f t="shared" ca="1" si="10"/>
        <v>#DIV/0!</v>
      </c>
      <c r="AA35" s="206" t="e">
        <f t="shared" ca="1" si="10"/>
        <v>#DIV/0!</v>
      </c>
      <c r="AB35" s="206" t="e">
        <f t="shared" ca="1" si="10"/>
        <v>#DIV/0!</v>
      </c>
      <c r="AC35" s="206" t="e">
        <f t="shared" ca="1" si="10"/>
        <v>#DIV/0!</v>
      </c>
      <c r="AD35" s="206" t="e">
        <f t="shared" ca="1" si="10"/>
        <v>#DIV/0!</v>
      </c>
      <c r="AE35" s="215" t="e">
        <f t="shared" ca="1" si="10"/>
        <v>#DIV/0!</v>
      </c>
    </row>
    <row r="36" spans="1:32" ht="12.75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$52,"="&amp;CRONO!D$12,CÁLCULO!$AB$15:$AL$52)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$52,"&lt;="&amp;CRONO!T$12,CÁLCULO!$AB$15:$AL$52)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$52,"="&amp;CRONO!U$12,CÁLCULO!$AB$15:$AL$52)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$52,"="&amp;CRONO!V$12,CÁLCULO!$AB$15:$AL$52)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$52,"="&amp;CRONO!W$12,CÁLCULO!$AB$15:$AL$52)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$52,"="&amp;CRONO!X$12,CÁLCULO!$AB$15:$AL$52)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$52,"="&amp;CRONO!Y$12,CÁLCULO!$AB$15:$AL$52)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$52,"="&amp;CRONO!Z$12,CÁLCULO!$AB$15:$AL$52)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$52,"="&amp;CRONO!AA$12,CÁLCULO!$AB$15:$AL$52)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$52,"="&amp;CRONO!AB$12,CÁLCULO!$AB$15:$AL$52)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$52,"="&amp;CRONO!AC$12,CÁLCULO!$AB$15:$AL$52)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$52,"="&amp;CRONO!AD$12,CÁLCULO!$AB$15:$AL$52)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$52,"="&amp;CRONO!AE$12,CÁLCULO!$AB$15:$AL$52)/(ORÇAMENTO!$X$15-CÁLCULO.TotalAdmLocal)*CRONO!$E37,0),AE36*$R35),SUMIF(OFFSET($R37,1,0,$Q35-2),($L35+1)&amp;"$",OFFSET(AE37,1,0,$Q35-2)))</f>
        <v>0</v>
      </c>
    </row>
    <row r="38" spans="1:32" hidden="1" x14ac:dyDescent="0.2">
      <c r="A38" s="203">
        <f ca="1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>
        <f ca="1">IF(A38&lt;=ORÇAMENTO.MáximoListaCrono,MATCH(A38,ORÇAMENTO.ListaCrono,0),NA())</f>
        <v>28</v>
      </c>
      <c r="F38" s="203" t="str">
        <f ca="1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 t="str">
        <f ca="1">IF($E39=0,OFFSET(ORÇAMENTO!O$15,$E38,0),IF($E39&lt;&gt;-1,OFFSET(QCI!$D$13,$E39,0),""))</f>
        <v>1.8.</v>
      </c>
      <c r="I38" s="209" t="str">
        <f ca="1">IF($E39=0,OFFSET(ORÇAMENTO!R$15,$E38,0),IF($E39&lt;&gt;-1,OFFSET(QCI!$G$13,$E39,0),""))</f>
        <v>PASSEIO PÚBLICO</v>
      </c>
      <c r="J38" s="209"/>
      <c r="K38" s="209"/>
      <c r="L38" s="210">
        <f ca="1">IF($E39=0,OFFSET(ORÇAMENTO!C$15,$E38,0),1)</f>
        <v>2</v>
      </c>
      <c r="M38" s="211">
        <f ca="1">IF($E39=-1,0,IF(M$13&lt;=$L38,IF(ISERROR(MATCH(M$13,OFFSET($L38,1,0,ROW($L$50)-ROW($L38)-1),0)),ROW($L$50)-ROW($L38)-1,MATCH(M$13,OFFSET($L38,1,0,ROW($L$50)-ROW($L38)-1),0)-1),0))</f>
        <v>11</v>
      </c>
      <c r="N38" s="211">
        <f ca="1">IF($E39=-1,0,IF(N$13&lt;=$L38,IF(ISERROR(MATCH(N$13,OFFSET($L38,1,0,ROW($L$50)-ROW($L38)-1),0)),ROW($L$50)-ROW($L38)-1,MATCH(N$13,OFFSET($L38,1,0,ROW($L$50)-ROW($L38)-1),0)-1),0))</f>
        <v>2</v>
      </c>
      <c r="O38" s="211">
        <f ca="1">IF($E39=-1,0,IF(O$13&lt;=$L38,IF(ISERROR(MATCH(O$13,OFFSET($L38,1,0,ROW($L$50)-ROW($L38)-1),0)),ROW($L$50)-ROW($L38)-1,MATCH(O$13,OFFSET($L38,1,0,ROW($L$50)-ROW($L38)-1),0)-1),0))</f>
        <v>0</v>
      </c>
      <c r="P38" s="211">
        <f ca="1">IF($E39=-1,0,IF(P$13&lt;=$L38,IF(ISERROR(MATCH(P$13,OFFSET($L38,1,0,ROW($L$50)-ROW($L38)-1),0)),ROW($L$50)-ROW($L38)-1,MATCH(P$13,OFFSET($L38,1,0,ROW($L$50)-ROW($L38)-1),0)-1),0))</f>
        <v>0</v>
      </c>
      <c r="Q38" s="211">
        <f ca="1">MIN(OFFSET(L38,0,1,,L38))</f>
        <v>2</v>
      </c>
      <c r="R38" s="212">
        <f ca="1">IF($E39=0,OFFSET(ORÇAMENTO!X$15,$E38,0),IF($E39&lt;&gt;-1,OFFSET(QCI!$O$13,$E39,0),""))</f>
        <v>0</v>
      </c>
      <c r="S38" s="213" t="s">
        <v>272</v>
      </c>
      <c r="T38" s="214" t="e">
        <f t="shared" ref="T38:AE38" ca="1" si="11">IF(AND($Q38=2,ACOMPANHAMENTO="BM"),T39,T40/$R38)</f>
        <v>#DIV/0!</v>
      </c>
      <c r="U38" s="206" t="e">
        <f t="shared" ca="1" si="11"/>
        <v>#DIV/0!</v>
      </c>
      <c r="V38" s="206" t="e">
        <f t="shared" ca="1" si="11"/>
        <v>#DIV/0!</v>
      </c>
      <c r="W38" s="206" t="e">
        <f t="shared" ca="1" si="11"/>
        <v>#DIV/0!</v>
      </c>
      <c r="X38" s="206" t="e">
        <f t="shared" ca="1" si="11"/>
        <v>#DIV/0!</v>
      </c>
      <c r="Y38" s="206" t="e">
        <f t="shared" ca="1" si="11"/>
        <v>#DIV/0!</v>
      </c>
      <c r="Z38" s="206" t="e">
        <f t="shared" ca="1" si="11"/>
        <v>#DIV/0!</v>
      </c>
      <c r="AA38" s="206" t="e">
        <f t="shared" ca="1" si="11"/>
        <v>#DIV/0!</v>
      </c>
      <c r="AB38" s="206" t="e">
        <f t="shared" ca="1" si="11"/>
        <v>#DIV/0!</v>
      </c>
      <c r="AC38" s="206" t="e">
        <f t="shared" ca="1" si="11"/>
        <v>#DIV/0!</v>
      </c>
      <c r="AD38" s="206" t="e">
        <f t="shared" ca="1" si="11"/>
        <v>#DIV/0!</v>
      </c>
      <c r="AE38" s="215" t="e">
        <f t="shared" ca="1" si="11"/>
        <v>#DIV/0!</v>
      </c>
    </row>
    <row r="39" spans="1:32" ht="12.75" hidden="1" customHeight="1" x14ac:dyDescent="0.2">
      <c r="D39" s="569"/>
      <c r="E39" s="203">
        <f ca="1">IF(ISERROR(E38),IF(1+COUNTIF($L$13:OFFSET(L38,-1,0),1)&lt;=MAX(QCI!$D$13:$D$15),1+COUNTIF($L$13:OFFSET(L38,-1,0),1),-1),0)</f>
        <v>0</v>
      </c>
      <c r="F39" s="203" t="str">
        <f ca="1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ca="1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70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71"/>
      <c r="AF39" s="533"/>
    </row>
    <row r="40" spans="1:32" ht="0.2" hidden="1" customHeight="1" x14ac:dyDescent="0.2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$52,"="&amp;CRONO!D$12,CÁLCULO!$AB$15:$AL$52)/(ORÇAMENTO!$X$15-CÁLCULO.TotalAdmLocal)*CRONO!$E40,0),D39*$R38),SUMIF(OFFSET($R40,1,0,$Q38-2),($L38+1)&amp;"$",OFFSET(D40,1,0,$Q38-2)))</f>
        <v>0</v>
      </c>
      <c r="E40" s="203">
        <f ca="1">IF(OR($Q38&lt;&gt;2,AUTOEVENTO&lt;&gt;"manual",$E39&gt;0),"",SUMIF(OFFSET(CÁLCULO!$M$15,CRONO!$E38,0,OFFSET(ORÇAMENTO!$D$15,CRONO!$E38,0)),1,OFFSET(ORÇAMENTO!$X$15,CRONO!$E38,0,OFFSET(ORÇAMENTO!$D$15,CRONO!$E38,0))))</f>
        <v>0</v>
      </c>
      <c r="G40" s="575"/>
      <c r="R40" s="224" t="str">
        <f ca="1">L38&amp;"$"</f>
        <v>2$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$52,"&lt;="&amp;CRONO!T$12,CÁLCULO!$AB$15:$AL$52)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$52,"="&amp;CRONO!U$12,CÁLCULO!$AB$15:$AL$52)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$52,"="&amp;CRONO!V$12,CÁLCULO!$AB$15:$AL$52)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$52,"="&amp;CRONO!W$12,CÁLCULO!$AB$15:$AL$52)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$52,"="&amp;CRONO!X$12,CÁLCULO!$AB$15:$AL$52)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$52,"="&amp;CRONO!Y$12,CÁLCULO!$AB$15:$AL$52)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$52,"="&amp;CRONO!Z$12,CÁLCULO!$AB$15:$AL$52)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$52,"="&amp;CRONO!AA$12,CÁLCULO!$AB$15:$AL$52)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$52,"="&amp;CRONO!AB$12,CÁLCULO!$AB$15:$AL$52)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$52,"="&amp;CRONO!AC$12,CÁLCULO!$AB$15:$AL$52)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$52,"="&amp;CRONO!AD$12,CÁLCULO!$AB$15:$AL$52)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$52,"="&amp;CRONO!AE$12,CÁLCULO!$AB$15:$AL$52)/(ORÇAMENTO!$X$15-CÁLCULO.TotalAdmLocal)*CRONO!$E40,0),AE39*$R38),SUMIF(OFFSET($R40,1,0,$Q38-2),($L38+1)&amp;"$",OFFSET(AE40,1,0,$Q38-2)))</f>
        <v>0</v>
      </c>
    </row>
    <row r="41" spans="1:32" x14ac:dyDescent="0.2">
      <c r="A41" s="203">
        <f ca="1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>
        <f ca="1">IF(A41&lt;=ORÇAMENTO.MáximoListaCrono,MATCH(A41,ORÇAMENTO.ListaCrono,0),NA())</f>
        <v>29</v>
      </c>
      <c r="F41" s="203" t="str">
        <f ca="1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 t="str">
        <f ca="1">IF($E42=0,OFFSET(ORÇAMENTO!O$15,$E41,0),IF($E42&lt;&gt;-1,OFFSET(QCI!$D$13,$E42,0),""))</f>
        <v>1.9.</v>
      </c>
      <c r="I41" s="209" t="str">
        <f ca="1">IF($E42=0,OFFSET(ORÇAMENTO!R$15,$E41,0),IF($E42&lt;&gt;-1,OFFSET(QCI!$G$13,$E42,0),""))</f>
        <v>Lado Direito</v>
      </c>
      <c r="J41" s="209"/>
      <c r="K41" s="209"/>
      <c r="L41" s="210">
        <f ca="1">IF($E42=0,OFFSET(ORÇAMENTO!C$15,$E41,0),1)</f>
        <v>2</v>
      </c>
      <c r="M41" s="211">
        <f ca="1">IF($E42=-1,0,IF(M$13&lt;=$L41,IF(ISERROR(MATCH(M$13,OFFSET($L41,1,0,ROW($L$50)-ROW($L41)-1),0)),ROW($L$50)-ROW($L41)-1,MATCH(M$13,OFFSET($L41,1,0,ROW($L$50)-ROW($L41)-1),0)-1),0))</f>
        <v>8</v>
      </c>
      <c r="N41" s="211">
        <f ca="1">IF($E42=-1,0,IF(N$13&lt;=$L41,IF(ISERROR(MATCH(N$13,OFFSET($L41,1,0,ROW($L$50)-ROW($L41)-1),0)),ROW($L$50)-ROW($L41)-1,MATCH(N$13,OFFSET($L41,1,0,ROW($L$50)-ROW($L41)-1),0)-1),0))</f>
        <v>2</v>
      </c>
      <c r="O41" s="211">
        <f ca="1">IF($E42=-1,0,IF(O$13&lt;=$L41,IF(ISERROR(MATCH(O$13,OFFSET($L41,1,0,ROW($L$50)-ROW($L41)-1),0)),ROW($L$50)-ROW($L41)-1,MATCH(O$13,OFFSET($L41,1,0,ROW($L$50)-ROW($L41)-1),0)-1),0))</f>
        <v>0</v>
      </c>
      <c r="P41" s="211">
        <f ca="1">IF($E42=-1,0,IF(P$13&lt;=$L41,IF(ISERROR(MATCH(P$13,OFFSET($L41,1,0,ROW($L$50)-ROW($L41)-1),0)),ROW($L$50)-ROW($L41)-1,MATCH(P$13,OFFSET($L41,1,0,ROW($L$50)-ROW($L41)-1),0)-1),0))</f>
        <v>0</v>
      </c>
      <c r="Q41" s="211">
        <f ca="1">MIN(OFFSET(L41,0,1,,L41))</f>
        <v>2</v>
      </c>
      <c r="R41" s="212">
        <f ca="1">IF($E42=0,OFFSET(ORÇAMENTO!X$15,$E41,0),IF($E42&lt;&gt;-1,OFFSET(QCI!$O$13,$E42,0),""))</f>
        <v>0</v>
      </c>
      <c r="S41" s="213" t="s">
        <v>272</v>
      </c>
      <c r="T41" s="214" t="e">
        <f t="shared" ref="T41:AE41" ca="1" si="12">IF(AND($Q41=2,ACOMPANHAMENTO="BM"),T42,T43/$R41)</f>
        <v>#DIV/0!</v>
      </c>
      <c r="U41" s="206" t="e">
        <f t="shared" ca="1" si="12"/>
        <v>#DIV/0!</v>
      </c>
      <c r="V41" s="206" t="e">
        <f t="shared" ca="1" si="12"/>
        <v>#DIV/0!</v>
      </c>
      <c r="W41" s="206" t="e">
        <f t="shared" ca="1" si="12"/>
        <v>#DIV/0!</v>
      </c>
      <c r="X41" s="206" t="e">
        <f t="shared" ca="1" si="12"/>
        <v>#DIV/0!</v>
      </c>
      <c r="Y41" s="206" t="e">
        <f t="shared" ca="1" si="12"/>
        <v>#DIV/0!</v>
      </c>
      <c r="Z41" s="206" t="e">
        <f t="shared" ca="1" si="12"/>
        <v>#DIV/0!</v>
      </c>
      <c r="AA41" s="206" t="e">
        <f t="shared" ca="1" si="12"/>
        <v>#DIV/0!</v>
      </c>
      <c r="AB41" s="206" t="e">
        <f t="shared" ca="1" si="12"/>
        <v>#DIV/0!</v>
      </c>
      <c r="AC41" s="206" t="e">
        <f t="shared" ca="1" si="12"/>
        <v>#DIV/0!</v>
      </c>
      <c r="AD41" s="206" t="e">
        <f t="shared" ca="1" si="12"/>
        <v>#DIV/0!</v>
      </c>
      <c r="AE41" s="215" t="e">
        <f t="shared" ca="1" si="12"/>
        <v>#DIV/0!</v>
      </c>
    </row>
    <row r="42" spans="1:32" ht="12.75" customHeight="1" x14ac:dyDescent="0.2">
      <c r="D42" s="569"/>
      <c r="E42" s="203">
        <f ca="1">IF(ISERROR(E41),IF(1+COUNTIF($L$13:OFFSET(L41,-1,0),1)&lt;=MAX(QCI!$D$13:$D$15),1+COUNTIF($L$13:OFFSET(L41,-1,0),1),-1),0)</f>
        <v>0</v>
      </c>
      <c r="F42" s="203" t="str">
        <f ca="1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ca="1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70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71"/>
      <c r="AF42" s="533"/>
    </row>
    <row r="43" spans="1:32" ht="0.2" hidden="1" customHeight="1" x14ac:dyDescent="0.2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$52,"="&amp;CRONO!D$12,CÁLCULO!$AB$15:$AL$52)/(ORÇAMENTO!$X$15-CÁLCULO.TotalAdmLocal)*CRONO!$E43,0),D42*$R41),SUMIF(OFFSET($R43,1,0,$Q41-2),($L41+1)&amp;"$",OFFSET(D43,1,0,$Q41-2)))</f>
        <v>0</v>
      </c>
      <c r="E43" s="203">
        <f ca="1">IF(OR($Q41&lt;&gt;2,AUTOEVENTO&lt;&gt;"manual",$E42&gt;0),"",SUMIF(OFFSET(CÁLCULO!$M$15,CRONO!$E41,0,OFFSET(ORÇAMENTO!$D$15,CRONO!$E41,0)),1,OFFSET(ORÇAMENTO!$X$15,CRONO!$E41,0,OFFSET(ORÇAMENTO!$D$15,CRONO!$E41,0))))</f>
        <v>0</v>
      </c>
      <c r="G43" s="579"/>
      <c r="R43" s="224" t="str">
        <f ca="1">L41&amp;"$"</f>
        <v>2$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$52,"&lt;="&amp;CRONO!T$12,CÁLCULO!$AB$15:$AL$52)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$52,"="&amp;CRONO!U$12,CÁLCULO!$AB$15:$AL$52)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$52,"="&amp;CRONO!V$12,CÁLCULO!$AB$15:$AL$52)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$52,"="&amp;CRONO!W$12,CÁLCULO!$AB$15:$AL$52)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$52,"="&amp;CRONO!X$12,CÁLCULO!$AB$15:$AL$52)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$52,"="&amp;CRONO!Y$12,CÁLCULO!$AB$15:$AL$52)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$52,"="&amp;CRONO!Z$12,CÁLCULO!$AB$15:$AL$52)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$52,"="&amp;CRONO!AA$12,CÁLCULO!$AB$15:$AL$52)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$52,"="&amp;CRONO!AB$12,CÁLCULO!$AB$15:$AL$52)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$52,"="&amp;CRONO!AC$12,CÁLCULO!$AB$15:$AL$52)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$52,"="&amp;CRONO!AD$12,CÁLCULO!$AB$15:$AL$52)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$52,"="&amp;CRONO!AE$12,CÁLCULO!$AB$15:$AL$52)/(ORÇAMENTO!$X$15-CÁLCULO.TotalAdmLocal)*CRONO!$E43,0),AE42*$R41),SUMIF(OFFSET($R43,1,0,$Q41-2),($L41+1)&amp;"$",OFFSET(AE43,1,0,$Q41-2)))</f>
        <v>0</v>
      </c>
    </row>
    <row r="44" spans="1:32" x14ac:dyDescent="0.2">
      <c r="A44" s="203">
        <f t="shared" ref="A44" ca="1" si="13">OFFSET(A44,-3,0)+1</f>
        <v>11</v>
      </c>
      <c r="B44" s="203">
        <f ca="1">IF($Q44&lt;&gt;2,0,IF($R44=0,1,IF(E45&gt;0,OFFSET(QCI!$M$13,SUBSTITUTE(E45,".",""),0),OFFSET(ORÇAMENTO!$AA$15,CRONO!$E44,0))/$R44))</f>
        <v>1</v>
      </c>
      <c r="C44" s="203">
        <f ca="1">IF($Q44&lt;&gt;2,0,IF($R44=0,1,IF(E45&gt;0,OFFSET(QCI!$N$13,SUBSTITUTE(E45,".",""),0),OFFSET(ORÇAMENTO!$AB$15,CRONO!$E44,0))/$R44))</f>
        <v>1</v>
      </c>
      <c r="D44" s="206" t="e">
        <f ca="1">IF(AND($Q44=2,ACOMPANHAMENTO="BM"),D45,D46/$R44)</f>
        <v>#DIV/0!</v>
      </c>
      <c r="E44" s="203">
        <f ca="1">IF(A44&lt;=ORÇAMENTO.MáximoListaCrono,MATCH(A44,ORÇAMENTO.ListaCrono,0),NA())</f>
        <v>31</v>
      </c>
      <c r="F44" s="203" t="str">
        <f t="shared" ref="F44" ca="1" si="14">IF(AND($E45&lt;&gt;-1,$R44&gt;0),"F","")</f>
        <v/>
      </c>
      <c r="G44" s="207" t="str">
        <f ca="1">IF(OR(R44=0,R44=""),"Linha",IF(AND(OR(ACOMPANHAMENTO="PLE",$Q44&lt;&gt;2),$E45=0),"Linha",1-SUM(T44:AF44)))</f>
        <v>Linha</v>
      </c>
      <c r="H44" s="208" t="str">
        <f ca="1">IF($E45=0,OFFSET(ORÇAMENTO!O$15,$E44,0),IF($E45&lt;&gt;-1,OFFSET(QCI!$D$13,$E45,0),""))</f>
        <v>1.10.</v>
      </c>
      <c r="I44" s="209" t="str">
        <f ca="1">IF($E45=0,OFFSET(ORÇAMENTO!R$15,$E44,0),IF($E45&lt;&gt;-1,OFFSET(QCI!$G$13,$E45,0),""))</f>
        <v>Lado Esquerdo</v>
      </c>
      <c r="J44" s="209"/>
      <c r="K44" s="209"/>
      <c r="L44" s="210">
        <f ca="1">IF($E45=0,OFFSET(ORÇAMENTO!C$15,$E44,0),1)</f>
        <v>2</v>
      </c>
      <c r="M44" s="211">
        <f t="shared" ref="M44" ca="1" si="15">IF($E45=-1,0,IF(M$13&lt;=$L44,IF(ISERROR(MATCH(M$13,OFFSET($L44,1,0,ROW($L$50)-ROW($L44)-1),0)),ROW($L$50)-ROW($L44)-1,MATCH(M$13,OFFSET($L44,1,0,ROW($L$50)-ROW($L44)-1),0)-1),0))</f>
        <v>5</v>
      </c>
      <c r="N44" s="211">
        <f t="shared" ref="N44" ca="1" si="16">IF($E45=-1,0,IF(N$13&lt;=$L44,IF(ISERROR(MATCH(N$13,OFFSET($L44,1,0,ROW($L$50)-ROW($L44)-1),0)),ROW($L$50)-ROW($L44)-1,MATCH(N$13,OFFSET($L44,1,0,ROW($L$50)-ROW($L44)-1),0)-1),0))</f>
        <v>2</v>
      </c>
      <c r="O44" s="211">
        <f t="shared" ref="O44" ca="1" si="17">IF($E45=-1,0,IF(O$13&lt;=$L44,IF(ISERROR(MATCH(O$13,OFFSET($L44,1,0,ROW($L$50)-ROW($L44)-1),0)),ROW($L$50)-ROW($L44)-1,MATCH(O$13,OFFSET($L44,1,0,ROW($L$50)-ROW($L44)-1),0)-1),0))</f>
        <v>0</v>
      </c>
      <c r="P44" s="211">
        <f t="shared" ref="P44" ca="1" si="18">IF($E45=-1,0,IF(P$13&lt;=$L44,IF(ISERROR(MATCH(P$13,OFFSET($L44,1,0,ROW($L$50)-ROW($L44)-1),0)),ROW($L$50)-ROW($L44)-1,MATCH(P$13,OFFSET($L44,1,0,ROW($L$50)-ROW($L44)-1),0)-1),0))</f>
        <v>0</v>
      </c>
      <c r="Q44" s="211">
        <f t="shared" ref="Q44" ca="1" si="19">MIN(OFFSET(L44,0,1,,L44))</f>
        <v>2</v>
      </c>
      <c r="R44" s="212">
        <f ca="1">IF($E45=0,OFFSET(ORÇAMENTO!X$15,$E44,0),IF($E45&lt;&gt;-1,OFFSET(QCI!$O$13,$E45,0),""))</f>
        <v>0</v>
      </c>
      <c r="S44" s="213" t="s">
        <v>272</v>
      </c>
      <c r="T44" s="214" t="e">
        <f t="shared" ref="T44:AE44" ca="1" si="20">IF(AND($Q44=2,ACOMPANHAMENTO="BM"),T45,T46/$R44)</f>
        <v>#DIV/0!</v>
      </c>
      <c r="U44" s="206" t="e">
        <f t="shared" ca="1" si="20"/>
        <v>#DIV/0!</v>
      </c>
      <c r="V44" s="206" t="e">
        <f t="shared" ca="1" si="20"/>
        <v>#DIV/0!</v>
      </c>
      <c r="W44" s="206" t="e">
        <f t="shared" ca="1" si="20"/>
        <v>#DIV/0!</v>
      </c>
      <c r="X44" s="206" t="e">
        <f t="shared" ca="1" si="20"/>
        <v>#DIV/0!</v>
      </c>
      <c r="Y44" s="206" t="e">
        <f t="shared" ca="1" si="20"/>
        <v>#DIV/0!</v>
      </c>
      <c r="Z44" s="206" t="e">
        <f t="shared" ca="1" si="20"/>
        <v>#DIV/0!</v>
      </c>
      <c r="AA44" s="206" t="e">
        <f t="shared" ca="1" si="20"/>
        <v>#DIV/0!</v>
      </c>
      <c r="AB44" s="206" t="e">
        <f t="shared" ca="1" si="20"/>
        <v>#DIV/0!</v>
      </c>
      <c r="AC44" s="206" t="e">
        <f t="shared" ca="1" si="20"/>
        <v>#DIV/0!</v>
      </c>
      <c r="AD44" s="206" t="e">
        <f t="shared" ca="1" si="20"/>
        <v>#DIV/0!</v>
      </c>
      <c r="AE44" s="215" t="e">
        <f t="shared" ca="1" si="20"/>
        <v>#DIV/0!</v>
      </c>
    </row>
    <row r="45" spans="1:32" ht="12.75" customHeight="1" x14ac:dyDescent="0.2">
      <c r="D45" s="569"/>
      <c r="E45" s="203">
        <f ca="1">IF(ISERROR(E44),IF(1+COUNTIF($L$13:OFFSET(L44,-1,0),1)&lt;=MAX(QCI!$D$13:$D$15),1+COUNTIF($L$13:OFFSET(L44,-1,0),1),-1),0)</f>
        <v>0</v>
      </c>
      <c r="F45" s="203" t="str">
        <f t="shared" ref="F45" ca="1" si="21">IF(AND($E45&lt;&gt;-1,$R44&gt;0),"F","")</f>
        <v/>
      </c>
      <c r="G45" s="216" t="str">
        <f ca="1">IF(OR(R44=0,R44=""),"vazia",IF(AND(OR(ACOMPANHAMENTO="PLE",$Q44&lt;&gt;2),$E45=0),"calculada","--&gt;"))</f>
        <v>vazia</v>
      </c>
      <c r="H45" s="217"/>
      <c r="I45" s="218" t="str">
        <f t="shared" ref="I45" ca="1" si="22">IF(AND(G44&lt;&gt;0,ISNUMBER(G44)),"PREENCHA ESTA LINHA --&gt;","")</f>
        <v/>
      </c>
      <c r="J45" s="218"/>
      <c r="K45" s="218"/>
      <c r="L45" s="219"/>
      <c r="M45" s="219"/>
      <c r="N45" s="219"/>
      <c r="O45" s="219"/>
      <c r="P45" s="219"/>
      <c r="Q45" s="219"/>
      <c r="R45" s="220"/>
      <c r="S45" s="221"/>
      <c r="T45" s="570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71"/>
      <c r="AF45" s="533"/>
    </row>
    <row r="46" spans="1:32" ht="0.2" hidden="1" customHeight="1" x14ac:dyDescent="0.2">
      <c r="D46" s="222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$52,"="&amp;CRONO!D$12,CÁLCULO!$AB$15:$AL$52)/(ORÇAMENTO!$X$15-CÁLCULO.TotalAdmLocal)*CRONO!$E46,0),D45*$R44),SUMIF(OFFSET($R46,1,0,$Q44-2),($L44+1)&amp;"$",OFFSET(D46,1,0,$Q44-2)))</f>
        <v>0</v>
      </c>
      <c r="E46" s="203">
        <f ca="1">IF(OR($Q44&lt;&gt;2,AUTOEVENTO&lt;&gt;"manual",$E45&gt;0),"",SUMIF(OFFSET(CÁLCULO!$M$15,CRONO!$E44,0,OFFSET(ORÇAMENTO!$D$15,CRONO!$E44,0)),1,OFFSET(ORÇAMENTO!$X$15,CRONO!$E44,0,OFFSET(ORÇAMENTO!$D$15,CRONO!$E44,0))))</f>
        <v>0</v>
      </c>
      <c r="G46" s="583"/>
      <c r="R46" s="224" t="str">
        <f t="shared" ref="R46" ca="1" si="23">L44&amp;"$"</f>
        <v>2$</v>
      </c>
      <c r="S46" s="225"/>
      <c r="T46" s="226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$52,"&lt;="&amp;CRONO!T$12,CÁLCULO!$AB$15:$AL$52)/(ORÇAMENTO!$X$15-CÁLCULO.TotalAdmLocal)*CRONO!$E46,0),T45*$R44),SUMIF(OFFSET($R46,1,0,$Q44-2),($L44+1)&amp;"$",OFFSET(T46,1,0,$Q44-2)))</f>
        <v>0</v>
      </c>
      <c r="U46" s="222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$52,"="&amp;CRONO!U$12,CÁLCULO!$AB$15:$AL$52)/(ORÇAMENTO!$X$15-CÁLCULO.TotalAdmLocal)*CRONO!$E46,0),U45*$R44),SUMIF(OFFSET($R46,1,0,$Q44-2),($L44+1)&amp;"$",OFFSET(U46,1,0,$Q44-2)))</f>
        <v>0</v>
      </c>
      <c r="V46" s="222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$52,"="&amp;CRONO!V$12,CÁLCULO!$AB$15:$AL$52)/(ORÇAMENTO!$X$15-CÁLCULO.TotalAdmLocal)*CRONO!$E46,0),V45*$R44),SUMIF(OFFSET($R46,1,0,$Q44-2),($L44+1)&amp;"$",OFFSET(V46,1,0,$Q44-2)))</f>
        <v>0</v>
      </c>
      <c r="W46" s="222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$52,"="&amp;CRONO!W$12,CÁLCULO!$AB$15:$AL$52)/(ORÇAMENTO!$X$15-CÁLCULO.TotalAdmLocal)*CRONO!$E46,0),W45*$R44),SUMIF(OFFSET($R46,1,0,$Q44-2),($L44+1)&amp;"$",OFFSET(W46,1,0,$Q44-2)))</f>
        <v>0</v>
      </c>
      <c r="X46" s="222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$52,"="&amp;CRONO!X$12,CÁLCULO!$AB$15:$AL$52)/(ORÇAMENTO!$X$15-CÁLCULO.TotalAdmLocal)*CRONO!$E46,0),X45*$R44),SUMIF(OFFSET($R46,1,0,$Q44-2),($L44+1)&amp;"$",OFFSET(X46,1,0,$Q44-2)))</f>
        <v>0</v>
      </c>
      <c r="Y46" s="222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$52,"="&amp;CRONO!Y$12,CÁLCULO!$AB$15:$AL$52)/(ORÇAMENTO!$X$15-CÁLCULO.TotalAdmLocal)*CRONO!$E46,0),Y45*$R44),SUMIF(OFFSET($R46,1,0,$Q44-2),($L44+1)&amp;"$",OFFSET(Y46,1,0,$Q44-2)))</f>
        <v>0</v>
      </c>
      <c r="Z46" s="222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$52,"="&amp;CRONO!Z$12,CÁLCULO!$AB$15:$AL$52)/(ORÇAMENTO!$X$15-CÁLCULO.TotalAdmLocal)*CRONO!$E46,0),Z45*$R44),SUMIF(OFFSET($R46,1,0,$Q44-2),($L44+1)&amp;"$",OFFSET(Z46,1,0,$Q44-2)))</f>
        <v>0</v>
      </c>
      <c r="AA46" s="222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$52,"="&amp;CRONO!AA$12,CÁLCULO!$AB$15:$AL$52)/(ORÇAMENTO!$X$15-CÁLCULO.TotalAdmLocal)*CRONO!$E46,0),AA45*$R44),SUMIF(OFFSET($R46,1,0,$Q44-2),($L44+1)&amp;"$",OFFSET(AA46,1,0,$Q44-2)))</f>
        <v>0</v>
      </c>
      <c r="AB46" s="222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$52,"="&amp;CRONO!AB$12,CÁLCULO!$AB$15:$AL$52)/(ORÇAMENTO!$X$15-CÁLCULO.TotalAdmLocal)*CRONO!$E46,0),AB45*$R44),SUMIF(OFFSET($R46,1,0,$Q44-2),($L44+1)&amp;"$",OFFSET(AB46,1,0,$Q44-2)))</f>
        <v>0</v>
      </c>
      <c r="AC46" s="222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$52,"="&amp;CRONO!AC$12,CÁLCULO!$AB$15:$AL$52)/(ORÇAMENTO!$X$15-CÁLCULO.TotalAdmLocal)*CRONO!$E46,0),AC45*$R44),SUMIF(OFFSET($R46,1,0,$Q44-2),($L44+1)&amp;"$",OFFSET(AC46,1,0,$Q44-2)))</f>
        <v>0</v>
      </c>
      <c r="AD46" s="222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$52,"="&amp;CRONO!AD$12,CÁLCULO!$AB$15:$AL$52)/(ORÇAMENTO!$X$15-CÁLCULO.TotalAdmLocal)*CRONO!$E46,0),AD45*$R44),SUMIF(OFFSET($R46,1,0,$Q44-2),($L44+1)&amp;"$",OFFSET(AD46,1,0,$Q44-2)))</f>
        <v>0</v>
      </c>
      <c r="AE46" s="227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$52,"="&amp;CRONO!AE$12,CÁLCULO!$AB$15:$AL$52)/(ORÇAMENTO!$X$15-CÁLCULO.TotalAdmLocal)*CRONO!$E46,0),AE45*$R44),SUMIF(OFFSET($R46,1,0,$Q44-2),($L44+1)&amp;"$",OFFSET(AE46,1,0,$Q44-2)))</f>
        <v>0</v>
      </c>
    </row>
    <row r="47" spans="1:32" x14ac:dyDescent="0.2">
      <c r="A47" s="203">
        <f t="shared" ref="A47" ca="1" si="24">OFFSET(A47,-3,0)+1</f>
        <v>12</v>
      </c>
      <c r="B47" s="203">
        <f ca="1">IF($Q47&lt;&gt;2,0,IF($R47=0,1,IF(E48&gt;0,OFFSET(QCI!$M$13,SUBSTITUTE(E48,".",""),0),OFFSET(ORÇAMENTO!$AA$15,CRONO!$E47,0))/$R47))</f>
        <v>1</v>
      </c>
      <c r="C47" s="203">
        <f ca="1">IF($Q47&lt;&gt;2,0,IF($R47=0,1,IF(E48&gt;0,OFFSET(QCI!$N$13,SUBSTITUTE(E48,".",""),0),OFFSET(ORÇAMENTO!$AB$15,CRONO!$E47,0))/$R47))</f>
        <v>1</v>
      </c>
      <c r="D47" s="206" t="e">
        <f ca="1">IF(AND($Q47=2,ACOMPANHAMENTO="BM"),D48,D49/$R47)</f>
        <v>#DIV/0!</v>
      </c>
      <c r="E47" s="203">
        <f ca="1">IF(A47&lt;=ORÇAMENTO.MáximoListaCrono,MATCH(A47,ORÇAMENTO.ListaCrono,0),NA())</f>
        <v>33</v>
      </c>
      <c r="F47" s="203" t="str">
        <f t="shared" ref="F47" ca="1" si="25">IF(AND($E48&lt;&gt;-1,$R47&gt;0),"F","")</f>
        <v/>
      </c>
      <c r="G47" s="207" t="str">
        <f ca="1">IF(OR(R47=0,R47=""),"Linha",IF(AND(OR(ACOMPANHAMENTO="PLE",$Q47&lt;&gt;2),$E48=0),"Linha",1-SUM(T47:AF47)))</f>
        <v>Linha</v>
      </c>
      <c r="H47" s="208" t="str">
        <f ca="1">IF($E48=0,OFFSET(ORÇAMENTO!O$15,$E47,0),IF($E48&lt;&gt;-1,OFFSET(QCI!$D$13,$E48,0),""))</f>
        <v>1.11.</v>
      </c>
      <c r="I47" s="209" t="str">
        <f ca="1">IF($E48=0,OFFSET(ORÇAMENTO!R$15,$E47,0),IF($E48&lt;&gt;-1,OFFSET(QCI!$G$13,$E48,0),""))</f>
        <v>SINALIZAÇÃO VERTICAL</v>
      </c>
      <c r="J47" s="209"/>
      <c r="K47" s="209"/>
      <c r="L47" s="210">
        <f ca="1">IF($E48=0,OFFSET(ORÇAMENTO!C$15,$E47,0),1)</f>
        <v>2</v>
      </c>
      <c r="M47" s="211">
        <f t="shared" ref="M47" ca="1" si="26">IF($E48=-1,0,IF(M$13&lt;=$L47,IF(ISERROR(MATCH(M$13,OFFSET($L47,1,0,ROW($L$50)-ROW($L47)-1),0)),ROW($L$50)-ROW($L47)-1,MATCH(M$13,OFFSET($L47,1,0,ROW($L$50)-ROW($L47)-1),0)-1),0))</f>
        <v>2</v>
      </c>
      <c r="N47" s="211">
        <f t="shared" ref="N47" ca="1" si="27">IF($E48=-1,0,IF(N$13&lt;=$L47,IF(ISERROR(MATCH(N$13,OFFSET($L47,1,0,ROW($L$50)-ROW($L47)-1),0)),ROW($L$50)-ROW($L47)-1,MATCH(N$13,OFFSET($L47,1,0,ROW($L$50)-ROW($L47)-1),0)-1),0))</f>
        <v>2</v>
      </c>
      <c r="O47" s="211">
        <f t="shared" ref="O47" ca="1" si="28">IF($E48=-1,0,IF(O$13&lt;=$L47,IF(ISERROR(MATCH(O$13,OFFSET($L47,1,0,ROW($L$50)-ROW($L47)-1),0)),ROW($L$50)-ROW($L47)-1,MATCH(O$13,OFFSET($L47,1,0,ROW($L$50)-ROW($L47)-1),0)-1),0))</f>
        <v>0</v>
      </c>
      <c r="P47" s="211">
        <f t="shared" ref="P47" ca="1" si="29">IF($E48=-1,0,IF(P$13&lt;=$L47,IF(ISERROR(MATCH(P$13,OFFSET($L47,1,0,ROW($L$50)-ROW($L47)-1),0)),ROW($L$50)-ROW($L47)-1,MATCH(P$13,OFFSET($L47,1,0,ROW($L$50)-ROW($L47)-1),0)-1),0))</f>
        <v>0</v>
      </c>
      <c r="Q47" s="211">
        <f t="shared" ref="Q47" ca="1" si="30">MIN(OFFSET(L47,0,1,,L47))</f>
        <v>2</v>
      </c>
      <c r="R47" s="212">
        <f ca="1">IF($E48=0,OFFSET(ORÇAMENTO!X$15,$E47,0),IF($E48&lt;&gt;-1,OFFSET(QCI!$O$13,$E48,0),""))</f>
        <v>0</v>
      </c>
      <c r="S47" s="213" t="s">
        <v>272</v>
      </c>
      <c r="T47" s="214" t="e">
        <f t="shared" ref="T47:AE47" ca="1" si="31">IF(AND($Q47=2,ACOMPANHAMENTO="BM"),T48,T49/$R47)</f>
        <v>#DIV/0!</v>
      </c>
      <c r="U47" s="206" t="e">
        <f t="shared" ca="1" si="31"/>
        <v>#DIV/0!</v>
      </c>
      <c r="V47" s="206" t="e">
        <f t="shared" ca="1" si="31"/>
        <v>#DIV/0!</v>
      </c>
      <c r="W47" s="206" t="e">
        <f t="shared" ca="1" si="31"/>
        <v>#DIV/0!</v>
      </c>
      <c r="X47" s="206" t="e">
        <f t="shared" ca="1" si="31"/>
        <v>#DIV/0!</v>
      </c>
      <c r="Y47" s="206" t="e">
        <f t="shared" ca="1" si="31"/>
        <v>#DIV/0!</v>
      </c>
      <c r="Z47" s="206" t="e">
        <f t="shared" ca="1" si="31"/>
        <v>#DIV/0!</v>
      </c>
      <c r="AA47" s="206" t="e">
        <f t="shared" ca="1" si="31"/>
        <v>#DIV/0!</v>
      </c>
      <c r="AB47" s="206" t="e">
        <f t="shared" ca="1" si="31"/>
        <v>#DIV/0!</v>
      </c>
      <c r="AC47" s="206" t="e">
        <f t="shared" ca="1" si="31"/>
        <v>#DIV/0!</v>
      </c>
      <c r="AD47" s="206" t="e">
        <f t="shared" ca="1" si="31"/>
        <v>#DIV/0!</v>
      </c>
      <c r="AE47" s="215" t="e">
        <f t="shared" ca="1" si="31"/>
        <v>#DIV/0!</v>
      </c>
    </row>
    <row r="48" spans="1:32" ht="12.75" customHeight="1" x14ac:dyDescent="0.2">
      <c r="D48" s="569"/>
      <c r="E48" s="203">
        <f ca="1">IF(ISERROR(E47),IF(1+COUNTIF($L$13:OFFSET(L47,-1,0),1)&lt;=MAX(QCI!$D$13:$D$15),1+COUNTIF($L$13:OFFSET(L47,-1,0),1),-1),0)</f>
        <v>0</v>
      </c>
      <c r="F48" s="203" t="str">
        <f t="shared" ref="F48" ca="1" si="32">IF(AND($E48&lt;&gt;-1,$R47&gt;0),"F","")</f>
        <v/>
      </c>
      <c r="G48" s="216" t="str">
        <f ca="1">IF(OR(R47=0,R47=""),"vazia",IF(AND(OR(ACOMPANHAMENTO="PLE",$Q47&lt;&gt;2),$E48=0),"calculada","--&gt;"))</f>
        <v>vazia</v>
      </c>
      <c r="H48" s="217"/>
      <c r="I48" s="218" t="str">
        <f t="shared" ref="I48" ca="1" si="33">IF(AND(G47&lt;&gt;0,ISNUMBER(G47)),"PREENCHA ESTA LINHA --&gt;","")</f>
        <v/>
      </c>
      <c r="J48" s="218"/>
      <c r="K48" s="218"/>
      <c r="L48" s="219"/>
      <c r="M48" s="219"/>
      <c r="N48" s="219"/>
      <c r="O48" s="219"/>
      <c r="P48" s="219"/>
      <c r="Q48" s="219"/>
      <c r="R48" s="220"/>
      <c r="S48" s="221"/>
      <c r="T48" s="570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71"/>
      <c r="AF48" s="533"/>
    </row>
    <row r="49" spans="4:32" ht="0.2" hidden="1" customHeight="1" x14ac:dyDescent="0.2">
      <c r="D49" s="222">
        <f ca="1">IF($Q47=2,IF(AND(ACOMPANHAMENTO="PLE",ISNUMBER($E47)),SUMIF((OFFSET(CÁLCULO!$AM$15:$AW$15,$E47,0,OFFSET(ORÇAMENTO!$D$15,CRONO!$E47,0))),"="&amp;CRONO!D$12,OFFSET(CÁLCULO!$AB$15:$AL$15,$E47,0,OFFSET(ORÇAMENTO!$D$15,CRONO!$E47,0)))+IF(AND($E49&lt;&gt;"",$E49&lt;&gt;0),SUMIF(CÁLCULO!$AM$15:$AW$52,"="&amp;CRONO!D$12,CÁLCULO!$AB$15:$AL$52)/(ORÇAMENTO!$X$15-CÁLCULO.TotalAdmLocal)*CRONO!$E49,0),D48*$R47),SUMIF(OFFSET($R49,1,0,$Q47-2),($L47+1)&amp;"$",OFFSET(D49,1,0,$Q47-2)))</f>
        <v>0</v>
      </c>
      <c r="E49" s="203">
        <f ca="1">IF(OR($Q47&lt;&gt;2,AUTOEVENTO&lt;&gt;"manual",$E48&gt;0),"",SUMIF(OFFSET(CÁLCULO!$M$15,CRONO!$E47,0,OFFSET(ORÇAMENTO!$D$15,CRONO!$E47,0)),1,OFFSET(ORÇAMENTO!$X$15,CRONO!$E47,0,OFFSET(ORÇAMENTO!$D$15,CRONO!$E47,0))))</f>
        <v>0</v>
      </c>
      <c r="G49" s="583"/>
      <c r="R49" s="224" t="str">
        <f t="shared" ref="R49" ca="1" si="34">L47&amp;"$"</f>
        <v>2$</v>
      </c>
      <c r="S49" s="225"/>
      <c r="T49" s="226">
        <f ca="1">IF($Q47=2,IF(AND(ACOMPANHAMENTO="PLE",ISNUMBER($E47)),SUMIF((OFFSET(CÁLCULO!$AM$15:$AW$15,$E47,0,OFFSET(ORÇAMENTO!$D$15,CRONO!$E47,0))),"&lt;="&amp;CRONO!T$12,OFFSET(CÁLCULO!$AB$15:$AL$15,$E47,0,OFFSET(ORÇAMENTO!$D$15,CRONO!$E47,0)))+IF(AND($E49&lt;&gt;"",$E49&lt;&gt;0),SUMIF(CÁLCULO!$AM$15:$AW$52,"&lt;="&amp;CRONO!T$12,CÁLCULO!$AB$15:$AL$52)/(ORÇAMENTO!$X$15-CÁLCULO.TotalAdmLocal)*CRONO!$E49,0),T48*$R47),SUMIF(OFFSET($R49,1,0,$Q47-2),($L47+1)&amp;"$",OFFSET(T49,1,0,$Q47-2)))</f>
        <v>0</v>
      </c>
      <c r="U49" s="222">
        <f ca="1">IF($Q47=2,IF(AND(ACOMPANHAMENTO="PLE",ISNUMBER($E47)),SUMIF((OFFSET(CÁLCULO!$AM$15:$AW$15,$E47,0,OFFSET(ORÇAMENTO!$D$15,CRONO!$E47,0))),"="&amp;CRONO!U$12,OFFSET(CÁLCULO!$AB$15:$AL$15,$E47,0,OFFSET(ORÇAMENTO!$D$15,CRONO!$E47,0)))+IF(AND($E49&lt;&gt;"",$E49&lt;&gt;0),SUMIF(CÁLCULO!$AM$15:$AW$52,"="&amp;CRONO!U$12,CÁLCULO!$AB$15:$AL$52)/(ORÇAMENTO!$X$15-CÁLCULO.TotalAdmLocal)*CRONO!$E49,0),U48*$R47),SUMIF(OFFSET($R49,1,0,$Q47-2),($L47+1)&amp;"$",OFFSET(U49,1,0,$Q47-2)))</f>
        <v>0</v>
      </c>
      <c r="V49" s="222">
        <f ca="1">IF($Q47=2,IF(AND(ACOMPANHAMENTO="PLE",ISNUMBER($E47)),SUMIF((OFFSET(CÁLCULO!$AM$15:$AW$15,$E47,0,OFFSET(ORÇAMENTO!$D$15,CRONO!$E47,0))),"="&amp;CRONO!V$12,OFFSET(CÁLCULO!$AB$15:$AL$15,$E47,0,OFFSET(ORÇAMENTO!$D$15,CRONO!$E47,0)))+IF(AND($E49&lt;&gt;"",$E49&lt;&gt;0),SUMIF(CÁLCULO!$AM$15:$AW$52,"="&amp;CRONO!V$12,CÁLCULO!$AB$15:$AL$52)/(ORÇAMENTO!$X$15-CÁLCULO.TotalAdmLocal)*CRONO!$E49,0),V48*$R47),SUMIF(OFFSET($R49,1,0,$Q47-2),($L47+1)&amp;"$",OFFSET(V49,1,0,$Q47-2)))</f>
        <v>0</v>
      </c>
      <c r="W49" s="222">
        <f ca="1">IF($Q47=2,IF(AND(ACOMPANHAMENTO="PLE",ISNUMBER($E47)),SUMIF((OFFSET(CÁLCULO!$AM$15:$AW$15,$E47,0,OFFSET(ORÇAMENTO!$D$15,CRONO!$E47,0))),"="&amp;CRONO!W$12,OFFSET(CÁLCULO!$AB$15:$AL$15,$E47,0,OFFSET(ORÇAMENTO!$D$15,CRONO!$E47,0)))+IF(AND($E49&lt;&gt;"",$E49&lt;&gt;0),SUMIF(CÁLCULO!$AM$15:$AW$52,"="&amp;CRONO!W$12,CÁLCULO!$AB$15:$AL$52)/(ORÇAMENTO!$X$15-CÁLCULO.TotalAdmLocal)*CRONO!$E49,0),W48*$R47),SUMIF(OFFSET($R49,1,0,$Q47-2),($L47+1)&amp;"$",OFFSET(W49,1,0,$Q47-2)))</f>
        <v>0</v>
      </c>
      <c r="X49" s="222">
        <f ca="1">IF($Q47=2,IF(AND(ACOMPANHAMENTO="PLE",ISNUMBER($E47)),SUMIF((OFFSET(CÁLCULO!$AM$15:$AW$15,$E47,0,OFFSET(ORÇAMENTO!$D$15,CRONO!$E47,0))),"="&amp;CRONO!X$12,OFFSET(CÁLCULO!$AB$15:$AL$15,$E47,0,OFFSET(ORÇAMENTO!$D$15,CRONO!$E47,0)))+IF(AND($E49&lt;&gt;"",$E49&lt;&gt;0),SUMIF(CÁLCULO!$AM$15:$AW$52,"="&amp;CRONO!X$12,CÁLCULO!$AB$15:$AL$52)/(ORÇAMENTO!$X$15-CÁLCULO.TotalAdmLocal)*CRONO!$E49,0),X48*$R47),SUMIF(OFFSET($R49,1,0,$Q47-2),($L47+1)&amp;"$",OFFSET(X49,1,0,$Q47-2)))</f>
        <v>0</v>
      </c>
      <c r="Y49" s="222">
        <f ca="1">IF($Q47=2,IF(AND(ACOMPANHAMENTO="PLE",ISNUMBER($E47)),SUMIF((OFFSET(CÁLCULO!$AM$15:$AW$15,$E47,0,OFFSET(ORÇAMENTO!$D$15,CRONO!$E47,0))),"="&amp;CRONO!Y$12,OFFSET(CÁLCULO!$AB$15:$AL$15,$E47,0,OFFSET(ORÇAMENTO!$D$15,CRONO!$E47,0)))+IF(AND($E49&lt;&gt;"",$E49&lt;&gt;0),SUMIF(CÁLCULO!$AM$15:$AW$52,"="&amp;CRONO!Y$12,CÁLCULO!$AB$15:$AL$52)/(ORÇAMENTO!$X$15-CÁLCULO.TotalAdmLocal)*CRONO!$E49,0),Y48*$R47),SUMIF(OFFSET($R49,1,0,$Q47-2),($L47+1)&amp;"$",OFFSET(Y49,1,0,$Q47-2)))</f>
        <v>0</v>
      </c>
      <c r="Z49" s="222">
        <f ca="1">IF($Q47=2,IF(AND(ACOMPANHAMENTO="PLE",ISNUMBER($E47)),SUMIF((OFFSET(CÁLCULO!$AM$15:$AW$15,$E47,0,OFFSET(ORÇAMENTO!$D$15,CRONO!$E47,0))),"="&amp;CRONO!Z$12,OFFSET(CÁLCULO!$AB$15:$AL$15,$E47,0,OFFSET(ORÇAMENTO!$D$15,CRONO!$E47,0)))+IF(AND($E49&lt;&gt;"",$E49&lt;&gt;0),SUMIF(CÁLCULO!$AM$15:$AW$52,"="&amp;CRONO!Z$12,CÁLCULO!$AB$15:$AL$52)/(ORÇAMENTO!$X$15-CÁLCULO.TotalAdmLocal)*CRONO!$E49,0),Z48*$R47),SUMIF(OFFSET($R49,1,0,$Q47-2),($L47+1)&amp;"$",OFFSET(Z49,1,0,$Q47-2)))</f>
        <v>0</v>
      </c>
      <c r="AA49" s="222">
        <f ca="1">IF($Q47=2,IF(AND(ACOMPANHAMENTO="PLE",ISNUMBER($E47)),SUMIF((OFFSET(CÁLCULO!$AM$15:$AW$15,$E47,0,OFFSET(ORÇAMENTO!$D$15,CRONO!$E47,0))),"="&amp;CRONO!AA$12,OFFSET(CÁLCULO!$AB$15:$AL$15,$E47,0,OFFSET(ORÇAMENTO!$D$15,CRONO!$E47,0)))+IF(AND($E49&lt;&gt;"",$E49&lt;&gt;0),SUMIF(CÁLCULO!$AM$15:$AW$52,"="&amp;CRONO!AA$12,CÁLCULO!$AB$15:$AL$52)/(ORÇAMENTO!$X$15-CÁLCULO.TotalAdmLocal)*CRONO!$E49,0),AA48*$R47),SUMIF(OFFSET($R49,1,0,$Q47-2),($L47+1)&amp;"$",OFFSET(AA49,1,0,$Q47-2)))</f>
        <v>0</v>
      </c>
      <c r="AB49" s="222">
        <f ca="1">IF($Q47=2,IF(AND(ACOMPANHAMENTO="PLE",ISNUMBER($E47)),SUMIF((OFFSET(CÁLCULO!$AM$15:$AW$15,$E47,0,OFFSET(ORÇAMENTO!$D$15,CRONO!$E47,0))),"="&amp;CRONO!AB$12,OFFSET(CÁLCULO!$AB$15:$AL$15,$E47,0,OFFSET(ORÇAMENTO!$D$15,CRONO!$E47,0)))+IF(AND($E49&lt;&gt;"",$E49&lt;&gt;0),SUMIF(CÁLCULO!$AM$15:$AW$52,"="&amp;CRONO!AB$12,CÁLCULO!$AB$15:$AL$52)/(ORÇAMENTO!$X$15-CÁLCULO.TotalAdmLocal)*CRONO!$E49,0),AB48*$R47),SUMIF(OFFSET($R49,1,0,$Q47-2),($L47+1)&amp;"$",OFFSET(AB49,1,0,$Q47-2)))</f>
        <v>0</v>
      </c>
      <c r="AC49" s="222">
        <f ca="1">IF($Q47=2,IF(AND(ACOMPANHAMENTO="PLE",ISNUMBER($E47)),SUMIF((OFFSET(CÁLCULO!$AM$15:$AW$15,$E47,0,OFFSET(ORÇAMENTO!$D$15,CRONO!$E47,0))),"="&amp;CRONO!AC$12,OFFSET(CÁLCULO!$AB$15:$AL$15,$E47,0,OFFSET(ORÇAMENTO!$D$15,CRONO!$E47,0)))+IF(AND($E49&lt;&gt;"",$E49&lt;&gt;0),SUMIF(CÁLCULO!$AM$15:$AW$52,"="&amp;CRONO!AC$12,CÁLCULO!$AB$15:$AL$52)/(ORÇAMENTO!$X$15-CÁLCULO.TotalAdmLocal)*CRONO!$E49,0),AC48*$R47),SUMIF(OFFSET($R49,1,0,$Q47-2),($L47+1)&amp;"$",OFFSET(AC49,1,0,$Q47-2)))</f>
        <v>0</v>
      </c>
      <c r="AD49" s="222">
        <f ca="1">IF($Q47=2,IF(AND(ACOMPANHAMENTO="PLE",ISNUMBER($E47)),SUMIF((OFFSET(CÁLCULO!$AM$15:$AW$15,$E47,0,OFFSET(ORÇAMENTO!$D$15,CRONO!$E47,0))),"="&amp;CRONO!AD$12,OFFSET(CÁLCULO!$AB$15:$AL$15,$E47,0,OFFSET(ORÇAMENTO!$D$15,CRONO!$E47,0)))+IF(AND($E49&lt;&gt;"",$E49&lt;&gt;0),SUMIF(CÁLCULO!$AM$15:$AW$52,"="&amp;CRONO!AD$12,CÁLCULO!$AB$15:$AL$52)/(ORÇAMENTO!$X$15-CÁLCULO.TotalAdmLocal)*CRONO!$E49,0),AD48*$R47),SUMIF(OFFSET($R49,1,0,$Q47-2),($L47+1)&amp;"$",OFFSET(AD49,1,0,$Q47-2)))</f>
        <v>0</v>
      </c>
      <c r="AE49" s="227">
        <f ca="1">IF($Q47=2,IF(AND(ACOMPANHAMENTO="PLE",ISNUMBER($E47)),SUMIF((OFFSET(CÁLCULO!$AM$15:$AW$15,$E47,0,OFFSET(ORÇAMENTO!$D$15,CRONO!$E47,0))),"="&amp;CRONO!AE$12,OFFSET(CÁLCULO!$AB$15:$AL$15,$E47,0,OFFSET(ORÇAMENTO!$D$15,CRONO!$E47,0)))+IF(AND($E49&lt;&gt;"",$E49&lt;&gt;0),SUMIF(CÁLCULO!$AM$15:$AW$52,"="&amp;CRONO!AE$12,CÁLCULO!$AB$15:$AL$52)/(ORÇAMENTO!$X$15-CÁLCULO.TotalAdmLocal)*CRONO!$E49,0),AE48*$R47),SUMIF(OFFSET($R49,1,0,$Q47-2),($L47+1)&amp;"$",OFFSET(AE49,1,0,$Q47-2)))</f>
        <v>0</v>
      </c>
    </row>
    <row r="50" spans="4:32" ht="5.0999999999999996" customHeight="1" x14ac:dyDescent="0.2">
      <c r="D50" s="502"/>
      <c r="F50" s="203" t="s">
        <v>248</v>
      </c>
      <c r="G50" s="504"/>
      <c r="H50" s="505"/>
      <c r="I50" s="506"/>
      <c r="J50" s="506"/>
      <c r="K50" s="506"/>
      <c r="L50" s="507" t="s">
        <v>283</v>
      </c>
      <c r="M50" s="507"/>
      <c r="N50" s="507"/>
      <c r="O50" s="507"/>
      <c r="P50" s="507"/>
      <c r="Q50" s="507"/>
      <c r="R50" s="508"/>
      <c r="S50" s="508"/>
      <c r="T50" s="506"/>
      <c r="U50" s="506"/>
      <c r="V50" s="506"/>
      <c r="W50" s="506"/>
      <c r="X50" s="506"/>
      <c r="Y50" s="506"/>
      <c r="Z50" s="506"/>
      <c r="AA50" s="506"/>
      <c r="AB50" s="506"/>
      <c r="AC50" s="506"/>
      <c r="AD50" s="506"/>
      <c r="AE50" s="509"/>
      <c r="AF50" s="503"/>
    </row>
    <row r="51" spans="4:32" ht="12.75" customHeight="1" x14ac:dyDescent="0.2">
      <c r="D51" s="251" t="e">
        <f ca="1">D55/$Q$51</f>
        <v>#DIV/0!</v>
      </c>
      <c r="F51" s="203" t="s">
        <v>248</v>
      </c>
      <c r="H51" s="646" t="str">
        <f ca="1">"Total:    R$ "&amp;TEXT(Q51,"#.##0,00")</f>
        <v>Total:    R$ 0,00</v>
      </c>
      <c r="I51" s="646"/>
      <c r="J51" s="646"/>
      <c r="K51" s="252"/>
      <c r="Q51" s="253">
        <f ca="1">SUMIF(L12:L50,1,R12:R50)</f>
        <v>0</v>
      </c>
      <c r="R51" s="254"/>
      <c r="S51" s="255" t="s">
        <v>284</v>
      </c>
      <c r="T51" s="256" t="e">
        <f t="shared" ref="T51:AE51" ca="1" si="35">ROUND(T55,2)/$Q$51</f>
        <v>#DIV/0!</v>
      </c>
      <c r="U51" s="257" t="e">
        <f t="shared" ca="1" si="35"/>
        <v>#DIV/0!</v>
      </c>
      <c r="V51" s="257" t="e">
        <f t="shared" ca="1" si="35"/>
        <v>#DIV/0!</v>
      </c>
      <c r="W51" s="257" t="e">
        <f t="shared" ca="1" si="35"/>
        <v>#DIV/0!</v>
      </c>
      <c r="X51" s="257" t="e">
        <f t="shared" ca="1" si="35"/>
        <v>#DIV/0!</v>
      </c>
      <c r="Y51" s="257" t="e">
        <f t="shared" ca="1" si="35"/>
        <v>#DIV/0!</v>
      </c>
      <c r="Z51" s="257" t="e">
        <f t="shared" ca="1" si="35"/>
        <v>#DIV/0!</v>
      </c>
      <c r="AA51" s="257" t="e">
        <f t="shared" ca="1" si="35"/>
        <v>#DIV/0!</v>
      </c>
      <c r="AB51" s="257" t="e">
        <f t="shared" ca="1" si="35"/>
        <v>#DIV/0!</v>
      </c>
      <c r="AC51" s="257" t="e">
        <f t="shared" ca="1" si="35"/>
        <v>#DIV/0!</v>
      </c>
      <c r="AD51" s="257" t="e">
        <f t="shared" ca="1" si="35"/>
        <v>#DIV/0!</v>
      </c>
      <c r="AE51" s="258" t="e">
        <f t="shared" ca="1" si="35"/>
        <v>#DIV/0!</v>
      </c>
    </row>
    <row r="52" spans="4:32" ht="15" customHeight="1" x14ac:dyDescent="0.2">
      <c r="D52" s="259">
        <f ca="1">ROUND(D57,2)-ROUND(C57,2)</f>
        <v>0</v>
      </c>
      <c r="F52" s="203" t="s">
        <v>248</v>
      </c>
      <c r="H52" s="646"/>
      <c r="I52" s="646"/>
      <c r="J52" s="646"/>
      <c r="K52" s="260"/>
      <c r="Q52" s="253"/>
      <c r="R52" s="261"/>
      <c r="S52" s="262" t="str">
        <f>IF(import.recurso="FGTS","Financiamento:","Repasse:")</f>
        <v>Repasse:</v>
      </c>
      <c r="T52" s="263">
        <f ca="1">ROUND(T57,2)</f>
        <v>0</v>
      </c>
      <c r="U52" s="259">
        <f t="shared" ref="U52:AE52" ca="1" si="36">ROUND(U57,2)-ROUND(T57,2)</f>
        <v>0</v>
      </c>
      <c r="V52" s="259">
        <f t="shared" ca="1" si="36"/>
        <v>0</v>
      </c>
      <c r="W52" s="259">
        <f t="shared" ca="1" si="36"/>
        <v>0</v>
      </c>
      <c r="X52" s="259">
        <f t="shared" ca="1" si="36"/>
        <v>0</v>
      </c>
      <c r="Y52" s="259">
        <f t="shared" ca="1" si="36"/>
        <v>0</v>
      </c>
      <c r="Z52" s="259">
        <f t="shared" ca="1" si="36"/>
        <v>0</v>
      </c>
      <c r="AA52" s="259">
        <f t="shared" ca="1" si="36"/>
        <v>0</v>
      </c>
      <c r="AB52" s="259">
        <f t="shared" ca="1" si="36"/>
        <v>0</v>
      </c>
      <c r="AC52" s="259">
        <f t="shared" ca="1" si="36"/>
        <v>0</v>
      </c>
      <c r="AD52" s="259">
        <f t="shared" ca="1" si="36"/>
        <v>0</v>
      </c>
      <c r="AE52" s="264">
        <f t="shared" ca="1" si="36"/>
        <v>0</v>
      </c>
    </row>
    <row r="53" spans="4:32" ht="12.75" customHeight="1" x14ac:dyDescent="0.2">
      <c r="D53" s="259">
        <f ca="1">ROUND(D58,2)-ROUND(C58,2)</f>
        <v>0</v>
      </c>
      <c r="F53" s="203" t="s">
        <v>248</v>
      </c>
      <c r="H53" s="265"/>
      <c r="K53" s="266" t="s">
        <v>285</v>
      </c>
      <c r="Q53" s="253"/>
      <c r="R53" s="267"/>
      <c r="S53" s="268" t="s">
        <v>286</v>
      </c>
      <c r="T53" s="269">
        <f ca="1">ROUND(T58,2)</f>
        <v>0</v>
      </c>
      <c r="U53" s="270">
        <f t="shared" ref="U53:AE53" ca="1" si="37">ROUND(U58,2)-ROUND(T58,2)</f>
        <v>0</v>
      </c>
      <c r="V53" s="270">
        <f t="shared" ca="1" si="37"/>
        <v>0</v>
      </c>
      <c r="W53" s="270">
        <f t="shared" ca="1" si="37"/>
        <v>0</v>
      </c>
      <c r="X53" s="270">
        <f t="shared" ca="1" si="37"/>
        <v>0</v>
      </c>
      <c r="Y53" s="270">
        <f t="shared" ca="1" si="37"/>
        <v>0</v>
      </c>
      <c r="Z53" s="270">
        <f t="shared" ca="1" si="37"/>
        <v>0</v>
      </c>
      <c r="AA53" s="270">
        <f t="shared" ca="1" si="37"/>
        <v>0</v>
      </c>
      <c r="AB53" s="270">
        <f t="shared" ca="1" si="37"/>
        <v>0</v>
      </c>
      <c r="AC53" s="270">
        <f t="shared" ca="1" si="37"/>
        <v>0</v>
      </c>
      <c r="AD53" s="270">
        <f t="shared" ca="1" si="37"/>
        <v>0</v>
      </c>
      <c r="AE53" s="271">
        <f t="shared" ca="1" si="37"/>
        <v>0</v>
      </c>
    </row>
    <row r="54" spans="4:32" x14ac:dyDescent="0.2">
      <c r="D54" s="272">
        <f ca="1">ROUND(D59,2)-ROUND(C59,2)</f>
        <v>0</v>
      </c>
      <c r="F54" s="203" t="s">
        <v>248</v>
      </c>
      <c r="H54" s="265"/>
      <c r="K54" s="266"/>
      <c r="Q54" s="253"/>
      <c r="R54" s="273"/>
      <c r="S54" s="274" t="s">
        <v>287</v>
      </c>
      <c r="T54" s="275">
        <f ca="1">ROUND(T59,2)</f>
        <v>0</v>
      </c>
      <c r="U54" s="272">
        <f t="shared" ref="U54:AE54" ca="1" si="38">ROUND(U59,2)-ROUND(T59,2)</f>
        <v>0</v>
      </c>
      <c r="V54" s="272">
        <f t="shared" ca="1" si="38"/>
        <v>0</v>
      </c>
      <c r="W54" s="272">
        <f t="shared" ca="1" si="38"/>
        <v>0</v>
      </c>
      <c r="X54" s="272">
        <f t="shared" ca="1" si="38"/>
        <v>0</v>
      </c>
      <c r="Y54" s="272">
        <f t="shared" ca="1" si="38"/>
        <v>0</v>
      </c>
      <c r="Z54" s="272">
        <f t="shared" ca="1" si="38"/>
        <v>0</v>
      </c>
      <c r="AA54" s="272">
        <f t="shared" ca="1" si="38"/>
        <v>0</v>
      </c>
      <c r="AB54" s="272">
        <f t="shared" ca="1" si="38"/>
        <v>0</v>
      </c>
      <c r="AC54" s="272">
        <f t="shared" ca="1" si="38"/>
        <v>0</v>
      </c>
      <c r="AD54" s="272">
        <f t="shared" ca="1" si="38"/>
        <v>0</v>
      </c>
      <c r="AE54" s="276">
        <f t="shared" ca="1" si="38"/>
        <v>0</v>
      </c>
    </row>
    <row r="55" spans="4:32" x14ac:dyDescent="0.2">
      <c r="D55" s="277">
        <f ca="1">ROUND(D60,2)-ROUND(C60,2)</f>
        <v>0</v>
      </c>
      <c r="F55" s="203" t="s">
        <v>248</v>
      </c>
      <c r="K55" s="278"/>
      <c r="R55" s="279"/>
      <c r="S55" s="280" t="s">
        <v>288</v>
      </c>
      <c r="T55" s="281">
        <f ca="1">ROUND(T60,2)</f>
        <v>0</v>
      </c>
      <c r="U55" s="282">
        <f t="shared" ref="U55:AE55" ca="1" si="39">ROUND(U60,2)-ROUND(T60,2)</f>
        <v>0</v>
      </c>
      <c r="V55" s="282">
        <f t="shared" ca="1" si="39"/>
        <v>0</v>
      </c>
      <c r="W55" s="282">
        <f t="shared" ca="1" si="39"/>
        <v>0</v>
      </c>
      <c r="X55" s="282">
        <f t="shared" ca="1" si="39"/>
        <v>0</v>
      </c>
      <c r="Y55" s="282">
        <f t="shared" ca="1" si="39"/>
        <v>0</v>
      </c>
      <c r="Z55" s="282">
        <f t="shared" ca="1" si="39"/>
        <v>0</v>
      </c>
      <c r="AA55" s="282">
        <f t="shared" ca="1" si="39"/>
        <v>0</v>
      </c>
      <c r="AB55" s="282">
        <f t="shared" ca="1" si="39"/>
        <v>0</v>
      </c>
      <c r="AC55" s="282">
        <f t="shared" ca="1" si="39"/>
        <v>0</v>
      </c>
      <c r="AD55" s="282">
        <f t="shared" ca="1" si="39"/>
        <v>0</v>
      </c>
      <c r="AE55" s="283">
        <f t="shared" ca="1" si="39"/>
        <v>0</v>
      </c>
    </row>
    <row r="56" spans="4:32" x14ac:dyDescent="0.2">
      <c r="D56" s="251" t="e">
        <f ca="1">D60/$Q$51</f>
        <v>#DIV/0!</v>
      </c>
      <c r="F56" s="203" t="s">
        <v>248</v>
      </c>
      <c r="K56" s="252"/>
      <c r="R56" s="254"/>
      <c r="S56" s="255" t="s">
        <v>284</v>
      </c>
      <c r="T56" s="256" t="e">
        <f ca="1">ROUND(T60,2)/$Q$51</f>
        <v>#DIV/0!</v>
      </c>
      <c r="U56" s="257" t="e">
        <f t="shared" ref="U56:AE56" ca="1" si="40">ROUND(U60,2)/$Q$51</f>
        <v>#DIV/0!</v>
      </c>
      <c r="V56" s="257" t="e">
        <f t="shared" ca="1" si="40"/>
        <v>#DIV/0!</v>
      </c>
      <c r="W56" s="257" t="e">
        <f t="shared" ca="1" si="40"/>
        <v>#DIV/0!</v>
      </c>
      <c r="X56" s="257" t="e">
        <f t="shared" ca="1" si="40"/>
        <v>#DIV/0!</v>
      </c>
      <c r="Y56" s="257" t="e">
        <f t="shared" ca="1" si="40"/>
        <v>#DIV/0!</v>
      </c>
      <c r="Z56" s="257" t="e">
        <f t="shared" ca="1" si="40"/>
        <v>#DIV/0!</v>
      </c>
      <c r="AA56" s="257" t="e">
        <f t="shared" ca="1" si="40"/>
        <v>#DIV/0!</v>
      </c>
      <c r="AB56" s="257" t="e">
        <f t="shared" ca="1" si="40"/>
        <v>#DIV/0!</v>
      </c>
      <c r="AC56" s="257" t="e">
        <f t="shared" ca="1" si="40"/>
        <v>#DIV/0!</v>
      </c>
      <c r="AD56" s="257" t="e">
        <f t="shared" ca="1" si="40"/>
        <v>#DIV/0!</v>
      </c>
      <c r="AE56" s="258" t="e">
        <f t="shared" ca="1" si="40"/>
        <v>#DIV/0!</v>
      </c>
    </row>
    <row r="57" spans="4:32" x14ac:dyDescent="0.2">
      <c r="D57" s="259">
        <f ca="1">ROUND(D60-D59-D58,2)</f>
        <v>0</v>
      </c>
      <c r="F57" s="203" t="s">
        <v>248</v>
      </c>
      <c r="K57" s="260"/>
      <c r="R57" s="261"/>
      <c r="S57" s="262" t="str">
        <f>IF(import.recurso="FGTS","Financiamento:","Repasse:")</f>
        <v>Repasse:</v>
      </c>
      <c r="T57" s="263">
        <f ca="1">ROUND(T60-T59-T58,2)</f>
        <v>0</v>
      </c>
      <c r="U57" s="259">
        <f t="shared" ref="U57:AE57" ca="1" si="41">ROUND(U60-U59-U58,2)</f>
        <v>0</v>
      </c>
      <c r="V57" s="259">
        <f t="shared" ca="1" si="41"/>
        <v>0</v>
      </c>
      <c r="W57" s="259">
        <f t="shared" ca="1" si="41"/>
        <v>0</v>
      </c>
      <c r="X57" s="259">
        <f t="shared" ca="1" si="41"/>
        <v>0</v>
      </c>
      <c r="Y57" s="259">
        <f t="shared" ca="1" si="41"/>
        <v>0</v>
      </c>
      <c r="Z57" s="259">
        <f t="shared" ca="1" si="41"/>
        <v>0</v>
      </c>
      <c r="AA57" s="259">
        <f t="shared" ca="1" si="41"/>
        <v>0</v>
      </c>
      <c r="AB57" s="259">
        <f t="shared" ca="1" si="41"/>
        <v>0</v>
      </c>
      <c r="AC57" s="259">
        <f t="shared" ca="1" si="41"/>
        <v>0</v>
      </c>
      <c r="AD57" s="259">
        <f t="shared" ca="1" si="41"/>
        <v>0</v>
      </c>
      <c r="AE57" s="264">
        <f t="shared" ca="1" si="41"/>
        <v>0</v>
      </c>
      <c r="AF57" s="204">
        <f ca="1">AE57+SUMPRODUCT((OFFSET($B$13,1,0):OFFSET($B$50,-3,0))*IF(ISNUMBER(OFFSET(AF$11,5,0):OFFSET(AF$50,-1,0)),OFFSET(AF$11,5,0):OFFSET(AF$50,-1,0),0))</f>
        <v>0</v>
      </c>
    </row>
    <row r="58" spans="4:32" x14ac:dyDescent="0.2">
      <c r="D58" s="259">
        <f t="array" aca="1" ref="D58" ca="1">C58+SUM((OFFSET($B$13,1,0):OFFSET($B$50,-3,0))*IF(ISNUMBER(OFFSET(D$11,5,0):OFFSET(D$50,-1,0)),OFFSET(D$11,5,0):OFFSET(D$50,-1,0),0))</f>
        <v>0</v>
      </c>
      <c r="F58" s="203" t="s">
        <v>248</v>
      </c>
      <c r="K58" s="266" t="s">
        <v>289</v>
      </c>
      <c r="R58" s="267"/>
      <c r="S58" s="268" t="s">
        <v>286</v>
      </c>
      <c r="T58" s="269">
        <f t="array" aca="1" ref="T58" ca="1">SUM((OFFSET($B$13,1,0):OFFSET($B$50,-3,0))*IF(ISNUMBER(OFFSET(T$11,5,0):OFFSET(T$50,-1,0)),OFFSET(T$11,5,0):OFFSET(T$50,-1,0),0))</f>
        <v>0</v>
      </c>
      <c r="U58" s="270">
        <f t="array" aca="1" ref="U58" ca="1">T58+SUM((OFFSET($B$13,1,0):OFFSET($B$50,-3,0))*IF(ISNUMBER(OFFSET(U$11,5,0):OFFSET(U$50,-1,0)),OFFSET(U$11,5,0):OFFSET(U$50,-1,0),0))</f>
        <v>0</v>
      </c>
      <c r="V58" s="270">
        <f t="array" aca="1" ref="V58" ca="1">U58+SUM((OFFSET($B$13,1,0):OFFSET($B$50,-3,0))*IF(ISNUMBER(OFFSET(V$11,5,0):OFFSET(V$50,-1,0)),OFFSET(V$11,5,0):OFFSET(V$50,-1,0),0))</f>
        <v>0</v>
      </c>
      <c r="W58" s="270">
        <f t="array" aca="1" ref="W58" ca="1">V58+SUM((OFFSET($B$13,1,0):OFFSET($B$50,-3,0))*IF(ISNUMBER(OFFSET(W$11,5,0):OFFSET(W$50,-1,0)),OFFSET(W$11,5,0):OFFSET(W$50,-1,0),0))</f>
        <v>0</v>
      </c>
      <c r="X58" s="270">
        <f t="array" aca="1" ref="X58" ca="1">W58+SUM((OFFSET($B$13,1,0):OFFSET($B$50,-3,0))*IF(ISNUMBER(OFFSET(X$11,5,0):OFFSET(X$50,-1,0)),OFFSET(X$11,5,0):OFFSET(X$50,-1,0),0))</f>
        <v>0</v>
      </c>
      <c r="Y58" s="270">
        <f t="array" aca="1" ref="Y58" ca="1">X58+SUM((OFFSET($B$13,1,0):OFFSET($B$50,-3,0))*IF(ISNUMBER(OFFSET(Y$11,5,0):OFFSET(Y$50,-1,0)),OFFSET(Y$11,5,0):OFFSET(Y$50,-1,0),0))</f>
        <v>0</v>
      </c>
      <c r="Z58" s="270">
        <f t="array" aca="1" ref="Z58" ca="1">Y58+SUM((OFFSET($B$13,1,0):OFFSET($B$50,-3,0))*IF(ISNUMBER(OFFSET(Z$11,5,0):OFFSET(Z$50,-1,0)),OFFSET(Z$11,5,0):OFFSET(Z$50,-1,0),0))</f>
        <v>0</v>
      </c>
      <c r="AA58" s="270">
        <f t="array" aca="1" ref="AA58" ca="1">Z58+SUM((OFFSET($B$13,1,0):OFFSET($B$50,-3,0))*IF(ISNUMBER(OFFSET(AA$11,5,0):OFFSET(AA$50,-1,0)),OFFSET(AA$11,5,0):OFFSET(AA$50,-1,0),0))</f>
        <v>0</v>
      </c>
      <c r="AB58" s="270">
        <f t="array" aca="1" ref="AB58" ca="1">AA58+SUM((OFFSET($B$13,1,0):OFFSET($B$50,-3,0))*IF(ISNUMBER(OFFSET(AB$11,5,0):OFFSET(AB$50,-1,0)),OFFSET(AB$11,5,0):OFFSET(AB$50,-1,0),0))</f>
        <v>0</v>
      </c>
      <c r="AC58" s="270">
        <f t="array" aca="1" ref="AC58" ca="1">AB58+SUM((OFFSET($B$13,1,0):OFFSET($B$50,-3,0))*IF(ISNUMBER(OFFSET(AC$11,5,0):OFFSET(AC$50,-1,0)),OFFSET(AC$11,5,0):OFFSET(AC$50,-1,0),0))</f>
        <v>0</v>
      </c>
      <c r="AD58" s="270">
        <f t="array" aca="1" ref="AD58" ca="1">AC58+SUM((OFFSET($B$13,1,0):OFFSET($B$50,-3,0))*IF(ISNUMBER(OFFSET(AD$11,5,0):OFFSET(AD$50,-1,0)),OFFSET(AD$11,5,0):OFFSET(AD$50,-1,0),0))</f>
        <v>0</v>
      </c>
      <c r="AE58" s="271">
        <f t="array" aca="1" ref="AE58" ca="1">AD58+SUM((OFFSET($B$13,1,0):OFFSET($B$50,-3,0))*IF(ISNUMBER(OFFSET(AE$11,5,0):OFFSET(AE$50,-1,0)),OFFSET(AE$11,5,0):OFFSET(AE$50,-1,0),0))</f>
        <v>0</v>
      </c>
      <c r="AF58" s="204">
        <f ca="1">AE58+SUMPRODUCT((OFFSET($C$13,1,0):OFFSET($C$50,-3,0))*IF(ISNUMBER(OFFSET(AF$11,5,0):OFFSET(AF$50,-1,0)),OFFSET(AF$11,5,0):OFFSET(AF$50,-1,0),0))</f>
        <v>0</v>
      </c>
    </row>
    <row r="59" spans="4:32" x14ac:dyDescent="0.2">
      <c r="D59" s="272">
        <f t="array" aca="1" ref="D59" ca="1">C59+SUM((OFFSET($C$13,1,0):OFFSET($C$50,-3,0))*IF(ISNUMBER(OFFSET(D$11,5,0):OFFSET(D$50,-1,0)),OFFSET(D$11,5,0):OFFSET(D$50,-1,0),0))</f>
        <v>0</v>
      </c>
      <c r="F59" s="203" t="s">
        <v>248</v>
      </c>
      <c r="K59" s="266"/>
      <c r="R59" s="273"/>
      <c r="S59" s="274" t="s">
        <v>287</v>
      </c>
      <c r="T59" s="275">
        <f t="array" aca="1" ref="T59" ca="1">SUM((OFFSET($C$13,1,0):OFFSET($C$50,-3,0))*IF(ISNUMBER(OFFSET(T$11,5,0):OFFSET(T$50,-1,0)),OFFSET(T$11,5,0):OFFSET(T$50,-1,0),0))</f>
        <v>0</v>
      </c>
      <c r="U59" s="272">
        <f t="array" aca="1" ref="U59" ca="1">T59+SUM((OFFSET($C$13,1,0):OFFSET($C$50,-3,0))*IF(ISNUMBER(OFFSET(U$11,5,0):OFFSET(U$50,-1,0)),OFFSET(U$11,5,0):OFFSET(U$50,-1,0),0))</f>
        <v>0</v>
      </c>
      <c r="V59" s="272">
        <f t="array" aca="1" ref="V59" ca="1">U59+SUM((OFFSET($C$13,1,0):OFFSET($C$50,-3,0))*IF(ISNUMBER(OFFSET(V$11,5,0):OFFSET(V$50,-1,0)),OFFSET(V$11,5,0):OFFSET(V$50,-1,0),0))</f>
        <v>0</v>
      </c>
      <c r="W59" s="272">
        <f t="array" aca="1" ref="W59" ca="1">V59+SUM((OFFSET($C$13,1,0):OFFSET($C$50,-3,0))*IF(ISNUMBER(OFFSET(W$11,5,0):OFFSET(W$50,-1,0)),OFFSET(W$11,5,0):OFFSET(W$50,-1,0),0))</f>
        <v>0</v>
      </c>
      <c r="X59" s="272">
        <f t="array" aca="1" ref="X59" ca="1">W59+SUM((OFFSET($C$13,1,0):OFFSET($C$50,-3,0))*IF(ISNUMBER(OFFSET(X$11,5,0):OFFSET(X$50,-1,0)),OFFSET(X$11,5,0):OFFSET(X$50,-1,0),0))</f>
        <v>0</v>
      </c>
      <c r="Y59" s="272">
        <f t="array" aca="1" ref="Y59" ca="1">X59+SUM((OFFSET($C$13,1,0):OFFSET($C$50,-3,0))*IF(ISNUMBER(OFFSET(Y$11,5,0):OFFSET(Y$50,-1,0)),OFFSET(Y$11,5,0):OFFSET(Y$50,-1,0),0))</f>
        <v>0</v>
      </c>
      <c r="Z59" s="272">
        <f t="array" aca="1" ref="Z59" ca="1">Y59+SUM((OFFSET($C$13,1,0):OFFSET($C$50,-3,0))*IF(ISNUMBER(OFFSET(Z$11,5,0):OFFSET(Z$50,-1,0)),OFFSET(Z$11,5,0):OFFSET(Z$50,-1,0),0))</f>
        <v>0</v>
      </c>
      <c r="AA59" s="272">
        <f t="array" aca="1" ref="AA59" ca="1">Z59+SUM((OFFSET($C$13,1,0):OFFSET($C$50,-3,0))*IF(ISNUMBER(OFFSET(AA$11,5,0):OFFSET(AA$50,-1,0)),OFFSET(AA$11,5,0):OFFSET(AA$50,-1,0),0))</f>
        <v>0</v>
      </c>
      <c r="AB59" s="272">
        <f t="array" aca="1" ref="AB59" ca="1">AA59+SUM((OFFSET($C$13,1,0):OFFSET($C$50,-3,0))*IF(ISNUMBER(OFFSET(AB$11,5,0):OFFSET(AB$50,-1,0)),OFFSET(AB$11,5,0):OFFSET(AB$50,-1,0),0))</f>
        <v>0</v>
      </c>
      <c r="AC59" s="272">
        <f t="array" aca="1" ref="AC59" ca="1">AB59+SUM((OFFSET($C$13,1,0):OFFSET($C$50,-3,0))*IF(ISNUMBER(OFFSET(AC$11,5,0):OFFSET(AC$50,-1,0)),OFFSET(AC$11,5,0):OFFSET(AC$50,-1,0),0))</f>
        <v>0</v>
      </c>
      <c r="AD59" s="272">
        <f t="array" aca="1" ref="AD59" ca="1">AC59+SUM((OFFSET($C$13,1,0):OFFSET($C$50,-3,0))*IF(ISNUMBER(OFFSET(AD$11,5,0):OFFSET(AD$50,-1,0)),OFFSET(AD$11,5,0):OFFSET(AD$50,-1,0),0))</f>
        <v>0</v>
      </c>
      <c r="AE59" s="276">
        <f t="array" aca="1" ref="AE59" ca="1">AD59+SUM((OFFSET($C$13,1,0):OFFSET($C$50,-3,0))*IF(ISNUMBER(OFFSET(AE$11,5,0):OFFSET(AE$50,-1,0)),OFFSET(AE$11,5,0):OFFSET(AE$50,-1,0),0))</f>
        <v>0</v>
      </c>
      <c r="AF59" s="204">
        <f ca="1">ROUND(AF60-AF57-AF58,2)</f>
        <v>0</v>
      </c>
    </row>
    <row r="60" spans="4:32" x14ac:dyDescent="0.2">
      <c r="D60" s="277">
        <f ca="1">C60+SUMIF($R$12:$R$50,"1$",D12:D50)</f>
        <v>0</v>
      </c>
      <c r="F60" s="203" t="s">
        <v>248</v>
      </c>
      <c r="K60" s="278"/>
      <c r="R60" s="279"/>
      <c r="S60" s="280" t="s">
        <v>288</v>
      </c>
      <c r="T60" s="281">
        <f ca="1">SUMIF($R$12:$R$50,"1$",T12:T50)</f>
        <v>0</v>
      </c>
      <c r="U60" s="282">
        <f t="shared" ref="U60:AF60" ca="1" si="42">T60+SUMIF($R$12:$R$50,"1$",U12:U50)</f>
        <v>0</v>
      </c>
      <c r="V60" s="282">
        <f t="shared" ca="1" si="42"/>
        <v>0</v>
      </c>
      <c r="W60" s="282">
        <f t="shared" ca="1" si="42"/>
        <v>0</v>
      </c>
      <c r="X60" s="282">
        <f t="shared" ca="1" si="42"/>
        <v>0</v>
      </c>
      <c r="Y60" s="282">
        <f t="shared" ca="1" si="42"/>
        <v>0</v>
      </c>
      <c r="Z60" s="282">
        <f t="shared" ca="1" si="42"/>
        <v>0</v>
      </c>
      <c r="AA60" s="282">
        <f t="shared" ca="1" si="42"/>
        <v>0</v>
      </c>
      <c r="AB60" s="282">
        <f t="shared" ca="1" si="42"/>
        <v>0</v>
      </c>
      <c r="AC60" s="282">
        <f t="shared" ca="1" si="42"/>
        <v>0</v>
      </c>
      <c r="AD60" s="282">
        <f t="shared" ca="1" si="42"/>
        <v>0</v>
      </c>
      <c r="AE60" s="283">
        <f t="shared" ca="1" si="42"/>
        <v>0</v>
      </c>
      <c r="AF60" s="204">
        <f t="shared" ca="1" si="42"/>
        <v>0</v>
      </c>
    </row>
    <row r="61" spans="4:32" x14ac:dyDescent="0.2">
      <c r="F61" s="203" t="s">
        <v>248</v>
      </c>
    </row>
    <row r="62" spans="4:32" ht="32.25" customHeight="1" x14ac:dyDescent="0.2">
      <c r="F62" s="203" t="s">
        <v>248</v>
      </c>
      <c r="H62" s="627" t="str">
        <f>Import.Município</f>
        <v>Caçapava do Sul/RS</v>
      </c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Z62" s="553"/>
      <c r="AA62" s="553"/>
      <c r="AB62" s="553"/>
      <c r="AC62" s="553"/>
      <c r="AD62" s="555"/>
      <c r="AE62" s="555"/>
    </row>
    <row r="63" spans="4:32" x14ac:dyDescent="0.2">
      <c r="F63" s="203" t="s">
        <v>248</v>
      </c>
      <c r="H63" s="10" t="s">
        <v>190</v>
      </c>
      <c r="I63"/>
      <c r="J63"/>
      <c r="K63"/>
      <c r="Z63" s="194" t="s">
        <v>192</v>
      </c>
      <c r="AA63" s="194"/>
      <c r="AB63" s="194"/>
      <c r="AC63" s="194"/>
      <c r="AD63" s="203"/>
      <c r="AE63" s="203"/>
    </row>
    <row r="64" spans="4:32" x14ac:dyDescent="0.2">
      <c r="F64" s="203" t="s">
        <v>248</v>
      </c>
      <c r="H64"/>
      <c r="I64"/>
      <c r="J64"/>
      <c r="K64"/>
      <c r="Z64" s="447" t="str">
        <f t="array" aca="1" ref="Z64:Z66" ca="1">OFFSET(Import.RespOrçamento,0,-1) &amp; " " &amp; Import.RespOrçamento</f>
        <v>Nome: Schaiane da Silva Lopes</v>
      </c>
      <c r="AB64"/>
      <c r="AC64" s="80"/>
      <c r="AD64" s="203"/>
      <c r="AE64" s="203"/>
    </row>
    <row r="65" spans="6:31" x14ac:dyDescent="0.2">
      <c r="F65" s="203" t="s">
        <v>248</v>
      </c>
      <c r="H65" s="650">
        <f ca="1">DADOS!$F$25</f>
        <v>45518</v>
      </c>
      <c r="I65" s="650"/>
      <c r="J65" s="650"/>
      <c r="K65" s="193"/>
      <c r="L65" s="284"/>
      <c r="M65" s="284"/>
      <c r="N65" s="284"/>
      <c r="O65" s="284"/>
      <c r="P65" s="284"/>
      <c r="Q65" s="284"/>
      <c r="R65" s="285"/>
      <c r="Z65" s="447" t="str">
        <f ca="1"/>
        <v>CREA/CAU: RS142294-4</v>
      </c>
      <c r="AB65" s="80"/>
      <c r="AC65" s="80"/>
      <c r="AD65" s="203"/>
      <c r="AE65" s="203"/>
    </row>
    <row r="66" spans="6:31" x14ac:dyDescent="0.2">
      <c r="F66" s="203" t="s">
        <v>248</v>
      </c>
      <c r="H66" s="10" t="s">
        <v>191</v>
      </c>
      <c r="I66"/>
      <c r="J66"/>
      <c r="K66"/>
      <c r="Z66" s="447" t="str">
        <f ca="1"/>
        <v>ART/RRT: 12377498</v>
      </c>
      <c r="AB66" s="80"/>
      <c r="AC66" s="80"/>
      <c r="AD66" s="203"/>
      <c r="AE66" s="203"/>
    </row>
  </sheetData>
  <sheetProtection password="BD1F" sheet="1" objects="1" scenarios="1" autoFilter="0"/>
  <autoFilter ref="F13:F66">
    <filterColumn colId="0">
      <filters>
        <filter val="F"/>
      </filters>
    </filterColumn>
  </autoFilter>
  <mergeCells count="17">
    <mergeCell ref="H65:J65"/>
    <mergeCell ref="AD4:AE4"/>
    <mergeCell ref="AD5:AE5"/>
    <mergeCell ref="Y8:AD8"/>
    <mergeCell ref="R12:R13"/>
    <mergeCell ref="S12:S13"/>
    <mergeCell ref="K8:S8"/>
    <mergeCell ref="T8:X8"/>
    <mergeCell ref="J10:S11"/>
    <mergeCell ref="H62:R62"/>
    <mergeCell ref="F8:F11"/>
    <mergeCell ref="H8:I8"/>
    <mergeCell ref="G7:G9"/>
    <mergeCell ref="H51:J52"/>
    <mergeCell ref="G12:G13"/>
    <mergeCell ref="H12:H13"/>
    <mergeCell ref="I12:I13"/>
  </mergeCells>
  <phoneticPr fontId="38" type="noConversion"/>
  <conditionalFormatting sqref="T12:T13">
    <cfRule type="expression" dxfId="161" priority="1777" stopIfTrue="1">
      <formula>NOT(ISNUMBER(S$12))</formula>
    </cfRule>
  </conditionalFormatting>
  <conditionalFormatting sqref="D2 T2:AF2">
    <cfRule type="expression" dxfId="160" priority="1778" stopIfTrue="1">
      <formula>AND(ISNUMBER($G1),$G1&lt;&gt;0)</formula>
    </cfRule>
  </conditionalFormatting>
  <conditionalFormatting sqref="D51:D55 T52:AE52 T54:AE54">
    <cfRule type="expression" dxfId="159" priority="1783" stopIfTrue="1">
      <formula>D$51=0</formula>
    </cfRule>
  </conditionalFormatting>
  <conditionalFormatting sqref="D56:D60">
    <cfRule type="expression" dxfId="158" priority="1784" stopIfTrue="1">
      <formula>C$56=1</formula>
    </cfRule>
  </conditionalFormatting>
  <conditionalFormatting sqref="U56:AE56 U58:AE58 U60:AE60">
    <cfRule type="expression" dxfId="157" priority="1785" stopIfTrue="1">
      <formula>OFFSET(U$56,0,-1)&gt;=1</formula>
    </cfRule>
  </conditionalFormatting>
  <conditionalFormatting sqref="U57:AE57 U59:AE59">
    <cfRule type="expression" dxfId="156" priority="1786" stopIfTrue="1">
      <formula>OFFSET(U$56,0,-1)&gt;=1</formula>
    </cfRule>
  </conditionalFormatting>
  <conditionalFormatting sqref="T51:AE51 T53:AE53 T55:AE55">
    <cfRule type="expression" dxfId="155" priority="1787" stopIfTrue="1">
      <formula>T$51=0</formula>
    </cfRule>
  </conditionalFormatting>
  <conditionalFormatting sqref="AE7:AE8">
    <cfRule type="expression" dxfId="154" priority="1788" stopIfTrue="1">
      <formula>OR(TIPOORCAMENTO&lt;&gt;"Licitado",QCI.ExisteManual)</formula>
    </cfRule>
  </conditionalFormatting>
  <conditionalFormatting sqref="D1 T1:AE1">
    <cfRule type="expression" dxfId="153" priority="1789" stopIfTrue="1">
      <formula>D1&lt;&gt;0</formula>
    </cfRule>
  </conditionalFormatting>
  <conditionalFormatting sqref="Y7:AD8">
    <cfRule type="expression" dxfId="152" priority="1776" stopIfTrue="1">
      <formula>QCI.ExisteManual</formula>
    </cfRule>
  </conditionalFormatting>
  <conditionalFormatting sqref="D15 D18 D21 T15:AF15 T18:AF18 T21:AF21">
    <cfRule type="expression" dxfId="151" priority="39" stopIfTrue="1">
      <formula>AND(ISNUMBER($G14),$G14&lt;&gt;0)</formula>
    </cfRule>
  </conditionalFormatting>
  <conditionalFormatting sqref="D14 D17 D20 T14:AE14 T17:AE17 T20:AE20">
    <cfRule type="expression" dxfId="150" priority="44" stopIfTrue="1">
      <formula>D14&lt;&gt;0</formula>
    </cfRule>
  </conditionalFormatting>
  <conditionalFormatting sqref="D24 T24:AF24">
    <cfRule type="expression" dxfId="149" priority="33" stopIfTrue="1">
      <formula>AND(ISNUMBER($G23),$G23&lt;&gt;0)</formula>
    </cfRule>
  </conditionalFormatting>
  <conditionalFormatting sqref="D23 T23:AE23">
    <cfRule type="expression" dxfId="148" priority="38" stopIfTrue="1">
      <formula>D23&lt;&gt;0</formula>
    </cfRule>
  </conditionalFormatting>
  <conditionalFormatting sqref="D27 T27:AF27">
    <cfRule type="expression" dxfId="147" priority="13" stopIfTrue="1">
      <formula>AND(ISNUMBER($G26),$G26&lt;&gt;0)</formula>
    </cfRule>
  </conditionalFormatting>
  <conditionalFormatting sqref="D26 T26:AE26">
    <cfRule type="expression" dxfId="146" priority="14" stopIfTrue="1">
      <formula>D26&lt;&gt;0</formula>
    </cfRule>
  </conditionalFormatting>
  <conditionalFormatting sqref="D30 T30:AF30">
    <cfRule type="expression" dxfId="145" priority="11" stopIfTrue="1">
      <formula>AND(ISNUMBER($G29),$G29&lt;&gt;0)</formula>
    </cfRule>
  </conditionalFormatting>
  <conditionalFormatting sqref="D29 T29:AE29">
    <cfRule type="expression" dxfId="144" priority="12" stopIfTrue="1">
      <formula>D29&lt;&gt;0</formula>
    </cfRule>
  </conditionalFormatting>
  <conditionalFormatting sqref="D33 T33:AF33">
    <cfRule type="expression" dxfId="143" priority="9" stopIfTrue="1">
      <formula>AND(ISNUMBER($G32),$G32&lt;&gt;0)</formula>
    </cfRule>
  </conditionalFormatting>
  <conditionalFormatting sqref="D32 T32:AE32">
    <cfRule type="expression" dxfId="142" priority="10" stopIfTrue="1">
      <formula>D32&lt;&gt;0</formula>
    </cfRule>
  </conditionalFormatting>
  <conditionalFormatting sqref="D36 T36:AF36">
    <cfRule type="expression" dxfId="141" priority="7" stopIfTrue="1">
      <formula>AND(ISNUMBER($G35),$G35&lt;&gt;0)</formula>
    </cfRule>
  </conditionalFormatting>
  <conditionalFormatting sqref="D35 T35:AE35">
    <cfRule type="expression" dxfId="140" priority="8" stopIfTrue="1">
      <formula>D35&lt;&gt;0</formula>
    </cfRule>
  </conditionalFormatting>
  <conditionalFormatting sqref="D39 T39:AF39">
    <cfRule type="expression" dxfId="139" priority="5" stopIfTrue="1">
      <formula>AND(ISNUMBER($G38),$G38&lt;&gt;0)</formula>
    </cfRule>
  </conditionalFormatting>
  <conditionalFormatting sqref="D38 T38:AE38">
    <cfRule type="expression" dxfId="138" priority="6" stopIfTrue="1">
      <formula>D38&lt;&gt;0</formula>
    </cfRule>
  </conditionalFormatting>
  <conditionalFormatting sqref="D42 T42:AF42">
    <cfRule type="expression" dxfId="137" priority="3" stopIfTrue="1">
      <formula>AND(ISNUMBER($G41),$G41&lt;&gt;0)</formula>
    </cfRule>
  </conditionalFormatting>
  <conditionalFormatting sqref="D41 T41:AE41">
    <cfRule type="expression" dxfId="136" priority="4" stopIfTrue="1">
      <formula>D41&lt;&gt;0</formula>
    </cfRule>
  </conditionalFormatting>
  <conditionalFormatting sqref="D45 D48 T45:AF45 T48:AF48">
    <cfRule type="expression" dxfId="135" priority="1" stopIfTrue="1">
      <formula>AND(ISNUMBER($G44),$G44&lt;&gt;0)</formula>
    </cfRule>
  </conditionalFormatting>
  <conditionalFormatting sqref="D44 D47 T44:AE44 T47:AE47">
    <cfRule type="expression" dxfId="134" priority="2" stopIfTrue="1">
      <formula>D44&lt;&gt;0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 D38 T38:AE38 D41 T41:AE41 D44 D47 T44:AE44 T47:AE47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 D39 T39:AF39 D42 T42:AF42 D45 D48 T45:AF45 T48:AF48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3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O29" sqref="O29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IF(AUTOEVENTO="Manual",IF(OFFSET(EVENTOS!$F$14,CRONOPLE!$B1,0)&gt;0,"F",""),IF(CRONOPLE!B1&lt;=MAX(CÁLCULO!$M$15:$M$52),"F",""))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IF(AUTOEVENTO="Manual",IF($B1&lt;&gt;1,OFFSET(EVENTOS!$D$14,$B1,0),0),IF(B1&lt;=MAX(CÁLCULO!$M$15:$M$52),VLOOKUP($B1,CÁLCULO!$M$15:$N$52,2,FALSE),0))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CRONO",IF(MAX($B$14:$B$23)&lt;MAX(CÁLCULO!$M$15:$M$52),"ERRO: NÚMERO DE EVENTOS INSUFICIENTE, CLIQUE EM ATUALIZAR LINHAS",IF(ROUND(OFFSET(CRONO!$AF$60,0,-1),2)&lt;&gt;CRONO!$Q$51,"ERRO: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01 (Primeiros 79,75m)</v>
      </c>
      <c r="I11" s="292" t="str">
        <f ca="1">IF(I$12&gt;CÁLCULO.NúmeroDeFrentes,"",OFFSET(CÁLCULO!$P$12,0,I$12))</f>
        <v>TRECHO 02 (últimos 79,75m)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56" t="s">
        <v>268</v>
      </c>
      <c r="C12" s="656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56"/>
      <c r="C13" s="656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IF(AUTOEVENTO="Manual",IF(OFFSET(EVENTOS!$F$14,CRONOPLE!$B16,0)&gt;0,"F",""),IF(CRONOPLE!B16&lt;=MAX(CÁLCULO!$M$15:$M$52),"F",""))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IF(AUTOEVENTO="Manual",IF($B16&lt;&gt;1,OFFSET(EVENTOS!$D$14,$B16,0),0),IF(B16&lt;=MAX(CÁLCULO!$M$15:$M$52),VLOOKUP($B16,CÁLCULO!$M$15:$N$52,2,FALSE),0))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IF(AUTOEVENTO="Manual",IF(OFFSET(EVENTOS!$F$14,CRONOPLE!$B17,0)&gt;0,"F",""),IF(CRONOPLE!B17&lt;=MAX(CÁLCULO!$M$15:$M$52),"F",""))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IF(AUTOEVENTO="Manual",IF($B17&lt;&gt;1,OFFSET(EVENTOS!$D$14,$B17,0),0),IF(B17&lt;=MAX(CÁLCULO!$M$15:$M$52),VLOOKUP($B17,CÁLCULO!$M$15:$N$52,2,FALSE),0))</f>
        <v xml:space="preserve">Terraplanagem 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IF(AUTOEVENTO="Manual",IF(OFFSET(EVENTOS!$F$14,CRONOPLE!$B18,0)&gt;0,"F",""),IF(CRONOPLE!B18&lt;=MAX(CÁLCULO!$M$15:$M$52),"F",""))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IF(AUTOEVENTO="Manual",IF($B18&lt;&gt;1,OFFSET(EVENTOS!$D$14,$B18,0),0),IF(B18&lt;=MAX(CÁLCULO!$M$15:$M$52),VLOOKUP($B18,CÁLCULO!$M$15:$N$52,2,FALSE),0))</f>
        <v>Pavimantação - Pista</v>
      </c>
      <c r="E18" s="288"/>
      <c r="G18" s="288"/>
      <c r="H18" s="288">
        <v>3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81" customFormat="1" x14ac:dyDescent="0.2">
      <c r="A19" s="7" t="str">
        <f ca="1">IF(AUTOEVENTO="Manual",IF(OFFSET(EVENTOS!$F$14,CRONOPLE!$B19,0)&gt;0,"F",""),IF(CRONOPLE!B19&lt;=MAX(CÁLCULO!$M$15:$M$52),"F",""))</f>
        <v/>
      </c>
      <c r="B19" s="286">
        <f ca="1">OFFSET(B19,-1,0)+1</f>
        <v>5</v>
      </c>
      <c r="C19" s="578" t="str">
        <f ca="1">IF(AUTOEVENTO="Manual",IF($B19&lt;&gt;1,OFFSET(EVENTOS!$D$14,$B19,0),0),IF(B19&lt;=MAX(CÁLCULO!$M$15:$M$52),VLOOKUP($B19,CÁLCULO!$M$15:$N$52,2,FALSE),0))</f>
        <v>Recompisição de drenagem</v>
      </c>
      <c r="E19" s="288"/>
      <c r="G19" s="288"/>
      <c r="H19" s="288">
        <v>3</v>
      </c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s="577" customFormat="1" x14ac:dyDescent="0.2">
      <c r="A20" s="7" t="str">
        <f ca="1">IF(AUTOEVENTO="Manual",IF(OFFSET(EVENTOS!$F$14,CRONOPLE!$B20,0)&gt;0,"F",""),IF(CRONOPLE!B20&lt;=MAX(CÁLCULO!$M$15:$M$52),"F",""))</f>
        <v/>
      </c>
      <c r="B20" s="286">
        <f ca="1">OFFSET(B20,-1,0)+1</f>
        <v>6</v>
      </c>
      <c r="C20" s="574" t="str">
        <f ca="1">IF(AUTOEVENTO="Manual",IF($B20&lt;&gt;1,OFFSET(EVENTOS!$D$14,$B20,0),0),IF(B20&lt;=MAX(CÁLCULO!$M$15:$M$52),VLOOKUP($B20,CÁLCULO!$M$15:$N$52,2,FALSE),0))</f>
        <v>Passeio Público</v>
      </c>
      <c r="E20" s="288"/>
      <c r="G20" s="288"/>
      <c r="H20" s="288">
        <v>3</v>
      </c>
      <c r="I20" s="288">
        <v>4</v>
      </c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s="573" customFormat="1" x14ac:dyDescent="0.2">
      <c r="A21" s="7" t="str">
        <f ca="1">IF(AUTOEVENTO="Manual",IF(OFFSET(EVENTOS!$F$14,CRONOPLE!$B21,0)&gt;0,"F",""),IF(CRONOPLE!B21&lt;=MAX(CÁLCULO!$M$15:$M$52),"F",""))</f>
        <v/>
      </c>
      <c r="B21" s="286">
        <f t="shared" ref="B21" ca="1" si="1">OFFSET(B21,-1,0)+1</f>
        <v>7</v>
      </c>
      <c r="C21" s="572" t="str">
        <f ca="1">IF(AUTOEVENTO="Manual",IF($B21&lt;&gt;1,OFFSET(EVENTOS!$D$14,$B21,0),0),IF(B21&lt;=MAX(CÁLCULO!$M$15:$M$52),VLOOKUP($B21,CÁLCULO!$M$15:$N$52,2,FALSE),0))</f>
        <v xml:space="preserve">Sinalização Vertical </v>
      </c>
      <c r="E21" s="288"/>
      <c r="G21" s="288"/>
      <c r="H21" s="288">
        <v>4</v>
      </c>
      <c r="I21" s="288">
        <v>4</v>
      </c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s="585" customFormat="1" x14ac:dyDescent="0.2">
      <c r="A22" s="7" t="str">
        <f ca="1">IF(AUTOEVENTO="Manual",IF(OFFSET(EVENTOS!$F$14,CRONOPLE!$B22,0)&gt;0,"F",""),IF(CRONOPLE!B22&lt;=MAX(CÁLCULO!$M$15:$M$52),"F",""))</f>
        <v/>
      </c>
      <c r="B22" s="286">
        <f ca="1">OFFSET(B22,-1,0)+1</f>
        <v>8</v>
      </c>
      <c r="C22" s="582" t="str">
        <f ca="1">IF(AUTOEVENTO="Manual",IF($B22&lt;&gt;1,OFFSET(EVENTOS!$D$14,$B22,0),0),IF(B22&lt;=MAX(CÁLCULO!$M$15:$M$52),VLOOKUP($B22,CÁLCULO!$M$15:$N$52,2,FALSE),0))</f>
        <v>Faixa elevada</v>
      </c>
      <c r="E22" s="288"/>
      <c r="G22" s="288"/>
      <c r="H22" s="288"/>
      <c r="I22" s="288">
        <v>4</v>
      </c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</row>
    <row r="23" spans="1:31" ht="5.0999999999999996" customHeight="1" x14ac:dyDescent="0.2">
      <c r="B23" s="510"/>
      <c r="C23" s="511"/>
      <c r="E23" s="302"/>
      <c r="F23" s="302"/>
      <c r="G23" s="510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  <c r="AE23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21 G21:AE21">
    <cfRule type="expression" dxfId="133" priority="104" stopIfTrue="1">
      <formula>IF(OR(E$12&gt;CÁLCULO.NúmeroDeFrentes,ACOMPANHAMENTO="BM"),TRUE,CRONOPLE.ValorDoEvento=0)</formula>
    </cfRule>
  </conditionalFormatting>
  <conditionalFormatting sqref="E16:E17 G16:AE17">
    <cfRule type="expression" dxfId="132" priority="7" stopIfTrue="1">
      <formula>IF(OR(E$12&gt;CÁLCULO.NúmeroDeFrentes,ACOMPANHAMENTO="BM"),TRUE,CRONOPLE.ValorDoEvento=0)</formula>
    </cfRule>
  </conditionalFormatting>
  <conditionalFormatting sqref="E18 G18:AE18">
    <cfRule type="expression" dxfId="131" priority="5" stopIfTrue="1">
      <formula>IF(OR(E$12&gt;CÁLCULO.NúmeroDeFrentes,ACOMPANHAMENTO="BM"),TRUE,CRONOPLE.ValorDoEvento=0)</formula>
    </cfRule>
  </conditionalFormatting>
  <conditionalFormatting sqref="E20 G20:AE20">
    <cfRule type="expression" dxfId="130" priority="3" stopIfTrue="1">
      <formula>IF(OR(E$12&gt;CÁLCULO.NúmeroDeFrentes,ACOMPANHAMENTO="BM"),TRUE,CRONOPLE.ValorDoEvento=0)</formula>
    </cfRule>
  </conditionalFormatting>
  <conditionalFormatting sqref="E19 G19:AE19">
    <cfRule type="expression" dxfId="129" priority="2" stopIfTrue="1">
      <formula>IF(OR(E$12&gt;CÁLCULO.NúmeroDeFrentes,ACOMPANHAMENTO="BM"),TRUE,CRONOPLE.ValorDoEvento=0)</formula>
    </cfRule>
  </conditionalFormatting>
  <conditionalFormatting sqref="E22 G22:AE22">
    <cfRule type="expression" dxfId="128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G16:AE22 E16:E22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2024-06-27T14:41:08Z</cp:lastPrinted>
  <dcterms:created xsi:type="dcterms:W3CDTF">1997-01-10T22:22:50Z</dcterms:created>
  <dcterms:modified xsi:type="dcterms:W3CDTF">2024-08-14T16:38:13Z</dcterms:modified>
</cp:coreProperties>
</file>